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SHORI-PC\gesuishori2015\個人の部屋\41石川の部屋\技術資料（汚水処理システム効率化）\07検討例エクセルシート\"/>
    </mc:Choice>
  </mc:AlternateContent>
  <bookViews>
    <workbookView xWindow="0" yWindow="0" windowWidth="18615" windowHeight="7740"/>
  </bookViews>
  <sheets>
    <sheet name="基礎情報" sheetId="1" r:id="rId1"/>
    <sheet name="行政人口の見通し" sheetId="2" r:id="rId2"/>
    <sheet name="整備の現状、人口見通し" sheetId="3" r:id="rId3"/>
    <sheet name="処理能力と稼働率" sheetId="7" r:id="rId4"/>
    <sheet name="維持管理費等" sheetId="9" r:id="rId5"/>
    <sheet name="更新時期" sheetId="18" r:id="rId6"/>
    <sheet name="下水、し尿等の水質" sheetId="5" r:id="rId7"/>
    <sheet name="汚水量原単位" sheetId="4" r:id="rId8"/>
    <sheet name="流入水量" sheetId="6" r:id="rId9"/>
    <sheet name="将来フレーム" sheetId="10" r:id="rId10"/>
    <sheet name="希釈倍率" sheetId="12" r:id="rId11"/>
    <sheet name="経済性比較、エネルギー、GHG" sheetId="14" r:id="rId12"/>
    <sheet name="簡易的な汚泥処理能力確認" sheetId="16" r:id="rId13"/>
    <sheet name="返流水負荷の計算表" sheetId="15" r:id="rId14"/>
  </sheets>
  <definedNames>
    <definedName name="_xlnm.Print_Area" localSheetId="11">'経済性比較、エネルギー、GHG'!$A$1:$AJ$250</definedName>
  </definedNames>
  <calcPr calcId="162913"/>
</workbook>
</file>

<file path=xl/calcChain.xml><?xml version="1.0" encoding="utf-8"?>
<calcChain xmlns="http://schemas.openxmlformats.org/spreadsheetml/2006/main">
  <c r="I23" i="14" l="1"/>
  <c r="O22" i="14" l="1"/>
  <c r="C6" i="1" l="1"/>
  <c r="I7" i="16" l="1"/>
  <c r="E3" i="3" l="1"/>
  <c r="I182" i="14" l="1"/>
  <c r="H182" i="14"/>
  <c r="F7" i="15" l="1"/>
  <c r="K133" i="14"/>
  <c r="L133" i="14" s="1"/>
  <c r="I65" i="14"/>
  <c r="H65" i="14"/>
  <c r="G65" i="14"/>
  <c r="F65" i="14"/>
  <c r="E65" i="14"/>
  <c r="C59" i="14"/>
  <c r="C58" i="14"/>
  <c r="I13" i="14"/>
  <c r="I122" i="14" s="1"/>
  <c r="H13" i="14"/>
  <c r="H122" i="14" s="1"/>
  <c r="G13" i="14"/>
  <c r="G122" i="14" s="1"/>
  <c r="F13" i="14"/>
  <c r="F122" i="14" s="1"/>
  <c r="E13" i="14"/>
  <c r="E122" i="14" s="1"/>
  <c r="O6" i="14"/>
  <c r="M6" i="14"/>
  <c r="C6" i="14"/>
  <c r="G5" i="14"/>
  <c r="H64" i="14" s="1"/>
  <c r="C5" i="14"/>
  <c r="C10" i="12"/>
  <c r="C9" i="12"/>
  <c r="C8" i="12"/>
  <c r="C6" i="12"/>
  <c r="C5" i="12"/>
  <c r="C4" i="12"/>
  <c r="K2" i="10"/>
  <c r="J2" i="10"/>
  <c r="I2" i="10"/>
  <c r="H2" i="10"/>
  <c r="G2" i="10"/>
  <c r="F2" i="10"/>
  <c r="E2" i="10"/>
  <c r="D2" i="10"/>
  <c r="C2" i="10"/>
  <c r="E14" i="9"/>
  <c r="E12" i="9"/>
  <c r="D4" i="4"/>
  <c r="E17" i="3"/>
  <c r="E16" i="3"/>
  <c r="E15" i="3"/>
  <c r="E74" i="14"/>
  <c r="E14" i="3"/>
  <c r="E12" i="3"/>
  <c r="G10" i="3"/>
  <c r="H10" i="3" s="1"/>
  <c r="I10" i="3" s="1"/>
  <c r="J10" i="3" s="1"/>
  <c r="K10" i="3" s="1"/>
  <c r="L10" i="3" s="1"/>
  <c r="M10" i="3" s="1"/>
  <c r="N10" i="3" s="1"/>
  <c r="O10" i="3" s="1"/>
  <c r="P10" i="3" s="1"/>
  <c r="Q10" i="3" s="1"/>
  <c r="R10" i="3" s="1"/>
  <c r="S10" i="3" s="1"/>
  <c r="T10" i="3" s="1"/>
  <c r="U10" i="3" s="1"/>
  <c r="V10" i="3" s="1"/>
  <c r="W10" i="3" s="1"/>
  <c r="X10" i="3" s="1"/>
  <c r="Y10" i="3" s="1"/>
  <c r="Z10" i="3" s="1"/>
  <c r="AA10" i="3" s="1"/>
  <c r="AB10" i="3" s="1"/>
  <c r="AC10" i="3" s="1"/>
  <c r="E9" i="3"/>
  <c r="F9" i="3" s="1"/>
  <c r="F8" i="3"/>
  <c r="E4" i="3"/>
  <c r="F4" i="2"/>
  <c r="G4" i="2" s="1"/>
  <c r="H1" i="2"/>
  <c r="I1" i="2" s="1"/>
  <c r="J1" i="2" s="1"/>
  <c r="K1" i="2" s="1"/>
  <c r="L1" i="2" s="1"/>
  <c r="M1" i="2" s="1"/>
  <c r="N1" i="2" s="1"/>
  <c r="O1" i="2" s="1"/>
  <c r="P1" i="2" s="1"/>
  <c r="Q1" i="2" s="1"/>
  <c r="R1" i="2" s="1"/>
  <c r="S1" i="2" s="1"/>
  <c r="T1" i="2" s="1"/>
  <c r="U1" i="2" s="1"/>
  <c r="V1" i="2" s="1"/>
  <c r="W1" i="2" s="1"/>
  <c r="X1" i="2" s="1"/>
  <c r="Y1" i="2" s="1"/>
  <c r="Z1" i="2" s="1"/>
  <c r="AA1" i="2" s="1"/>
  <c r="AB1" i="2" s="1"/>
  <c r="AC1" i="2" s="1"/>
  <c r="D5" i="6" l="1"/>
  <c r="D3" i="6"/>
  <c r="D6" i="6"/>
  <c r="D15" i="6" s="1"/>
  <c r="F12" i="3"/>
  <c r="F17" i="3" s="1"/>
  <c r="H12" i="14"/>
  <c r="H120" i="14" s="1"/>
  <c r="E64" i="14"/>
  <c r="F12" i="14"/>
  <c r="F120" i="14" s="1"/>
  <c r="N64" i="14"/>
  <c r="G12" i="14"/>
  <c r="G120" i="14" s="1"/>
  <c r="I12" i="14"/>
  <c r="I120" i="14" s="1"/>
  <c r="N12" i="14"/>
  <c r="N120" i="14" s="1"/>
  <c r="O12" i="14"/>
  <c r="O120" i="14" s="1"/>
  <c r="J64" i="14"/>
  <c r="L64" i="14"/>
  <c r="E12" i="14"/>
  <c r="E120" i="14" s="1"/>
  <c r="M64" i="14"/>
  <c r="G12" i="3"/>
  <c r="H4" i="2"/>
  <c r="E18" i="3"/>
  <c r="E13" i="3"/>
  <c r="F4" i="3"/>
  <c r="C4" i="10"/>
  <c r="C5" i="10"/>
  <c r="F6" i="3"/>
  <c r="F5" i="3"/>
  <c r="F7" i="3"/>
  <c r="F3" i="3"/>
  <c r="M133" i="14"/>
  <c r="K12" i="14"/>
  <c r="K64" i="14"/>
  <c r="L12" i="14"/>
  <c r="O64" i="14"/>
  <c r="F64" i="14"/>
  <c r="J12" i="14"/>
  <c r="G64" i="14"/>
  <c r="M12" i="14"/>
  <c r="I64" i="14"/>
  <c r="F16" i="3" l="1"/>
  <c r="C6" i="10"/>
  <c r="D12" i="6"/>
  <c r="C9" i="10"/>
  <c r="D14" i="6"/>
  <c r="D4" i="12"/>
  <c r="E7" i="7"/>
  <c r="F7" i="7" s="1"/>
  <c r="E6" i="6"/>
  <c r="E15" i="6" s="1"/>
  <c r="E14" i="14"/>
  <c r="E185" i="14" s="1"/>
  <c r="D5" i="12"/>
  <c r="F5" i="12" s="1"/>
  <c r="J5" i="12" s="1"/>
  <c r="C10" i="10"/>
  <c r="E5" i="6"/>
  <c r="D7" i="6"/>
  <c r="F14" i="3"/>
  <c r="D8" i="12"/>
  <c r="F5" i="9"/>
  <c r="G5" i="9" s="1"/>
  <c r="F180" i="14" s="1"/>
  <c r="L120" i="14"/>
  <c r="F74" i="14"/>
  <c r="H12" i="3"/>
  <c r="I4" i="2"/>
  <c r="G14" i="3"/>
  <c r="G17" i="3"/>
  <c r="G16" i="3"/>
  <c r="M120" i="14"/>
  <c r="K120" i="14"/>
  <c r="N133" i="14"/>
  <c r="C7" i="10"/>
  <c r="C13" i="10"/>
  <c r="C16" i="10"/>
  <c r="C17" i="10" s="1"/>
  <c r="J120" i="14"/>
  <c r="D9" i="12" l="1"/>
  <c r="F9" i="12" s="1"/>
  <c r="F4" i="12"/>
  <c r="D9" i="10"/>
  <c r="E14" i="6"/>
  <c r="C11" i="10"/>
  <c r="D16" i="6"/>
  <c r="D13" i="6" s="1"/>
  <c r="C15" i="10" s="1"/>
  <c r="E123" i="14"/>
  <c r="E134" i="14" s="1"/>
  <c r="E16" i="14"/>
  <c r="E197" i="14" s="1"/>
  <c r="E20" i="14"/>
  <c r="D5" i="9"/>
  <c r="E5" i="9" s="1"/>
  <c r="E67" i="14"/>
  <c r="E71" i="14" s="1"/>
  <c r="E73" i="14" s="1"/>
  <c r="D4" i="6"/>
  <c r="E15" i="14" s="1"/>
  <c r="E17" i="14" s="1"/>
  <c r="E181" i="14" s="1"/>
  <c r="F6" i="6"/>
  <c r="F3" i="6"/>
  <c r="F12" i="6" s="1"/>
  <c r="D10" i="10"/>
  <c r="D6" i="12"/>
  <c r="D7" i="12" s="1"/>
  <c r="F13" i="3"/>
  <c r="F15" i="3" s="1"/>
  <c r="F18" i="3" s="1"/>
  <c r="E3" i="6"/>
  <c r="E12" i="6" s="1"/>
  <c r="F5" i="6"/>
  <c r="D4" i="10"/>
  <c r="G180" i="14"/>
  <c r="J4" i="12"/>
  <c r="I12" i="3"/>
  <c r="J4" i="2"/>
  <c r="G74" i="14"/>
  <c r="H14" i="3"/>
  <c r="H17" i="3"/>
  <c r="H16" i="3"/>
  <c r="O133" i="14"/>
  <c r="F8" i="12"/>
  <c r="G13" i="3"/>
  <c r="G15" i="3" s="1"/>
  <c r="E4" i="10"/>
  <c r="E180" i="14" l="1"/>
  <c r="E10" i="10"/>
  <c r="F15" i="6"/>
  <c r="R5" i="14"/>
  <c r="E189" i="14"/>
  <c r="E9" i="10"/>
  <c r="F14" i="6"/>
  <c r="C8" i="10"/>
  <c r="C12" i="10" s="1"/>
  <c r="E8" i="7"/>
  <c r="D7" i="9" s="1"/>
  <c r="E125" i="14"/>
  <c r="D13" i="9" s="1"/>
  <c r="E128" i="14"/>
  <c r="E207" i="14" s="1"/>
  <c r="E213" i="14" s="1"/>
  <c r="E124" i="14"/>
  <c r="E190" i="14" s="1"/>
  <c r="E196" i="14" s="1"/>
  <c r="E229" i="14" s="1"/>
  <c r="E68" i="14"/>
  <c r="E76" i="14" s="1"/>
  <c r="E21" i="14"/>
  <c r="E24" i="14" s="1"/>
  <c r="E25" i="14" s="1"/>
  <c r="E186" i="14"/>
  <c r="E192" i="14" s="1"/>
  <c r="E227" i="14" s="1"/>
  <c r="E79" i="14"/>
  <c r="E75" i="14"/>
  <c r="E205" i="14" s="1"/>
  <c r="E187" i="14"/>
  <c r="D5" i="10"/>
  <c r="G6" i="6"/>
  <c r="G15" i="6" s="1"/>
  <c r="G3" i="6"/>
  <c r="G12" i="6" s="1"/>
  <c r="E7" i="6"/>
  <c r="F6" i="12"/>
  <c r="J6" i="12" s="1"/>
  <c r="G5" i="6"/>
  <c r="D10" i="12"/>
  <c r="F10" i="12" s="1"/>
  <c r="F11" i="12" s="1"/>
  <c r="E7" i="9"/>
  <c r="F8" i="7"/>
  <c r="H74" i="14"/>
  <c r="E5" i="10"/>
  <c r="G18" i="3"/>
  <c r="J12" i="3"/>
  <c r="K4" i="2"/>
  <c r="H13" i="3"/>
  <c r="H15" i="3" s="1"/>
  <c r="F4" i="10"/>
  <c r="I17" i="3"/>
  <c r="I16" i="3"/>
  <c r="I14" i="3"/>
  <c r="P133" i="14"/>
  <c r="E72" i="14"/>
  <c r="E188" i="14"/>
  <c r="E194" i="14" s="1"/>
  <c r="E80" i="14"/>
  <c r="E203" i="14"/>
  <c r="E209" i="14" s="1"/>
  <c r="E198" i="14"/>
  <c r="E204" i="14"/>
  <c r="R6" i="14"/>
  <c r="F14" i="14"/>
  <c r="D6" i="10"/>
  <c r="E201" i="14" l="1"/>
  <c r="C14" i="10"/>
  <c r="F7" i="9"/>
  <c r="G7" i="9" s="1"/>
  <c r="F181" i="14" s="1"/>
  <c r="G181" i="14" s="1"/>
  <c r="E210" i="14" s="1"/>
  <c r="E215" i="14" s="1"/>
  <c r="E221" i="14" s="1"/>
  <c r="E135" i="14"/>
  <c r="E138" i="14" s="1"/>
  <c r="E139" i="14" s="1"/>
  <c r="E224" i="14"/>
  <c r="E126" i="14"/>
  <c r="D11" i="10"/>
  <c r="E16" i="6"/>
  <c r="E13" i="6" s="1"/>
  <c r="F9" i="10"/>
  <c r="G14" i="6"/>
  <c r="E129" i="14"/>
  <c r="E208" i="14" s="1"/>
  <c r="E211" i="14"/>
  <c r="E199" i="14"/>
  <c r="E228" i="14"/>
  <c r="Q58" i="14"/>
  <c r="E84" i="14"/>
  <c r="E85" i="14" s="1"/>
  <c r="H6" i="6"/>
  <c r="H15" i="6" s="1"/>
  <c r="F10" i="10"/>
  <c r="H3" i="6"/>
  <c r="H12" i="6" s="1"/>
  <c r="D15" i="10"/>
  <c r="F7" i="6"/>
  <c r="H5" i="6"/>
  <c r="E4" i="6"/>
  <c r="F15" i="14" s="1"/>
  <c r="F7" i="12"/>
  <c r="C7" i="12" s="1"/>
  <c r="H7" i="12" s="1"/>
  <c r="I7" i="12" s="1"/>
  <c r="D11" i="12"/>
  <c r="C11" i="12"/>
  <c r="E225" i="14"/>
  <c r="E226" i="14"/>
  <c r="E200" i="14"/>
  <c r="E206" i="14"/>
  <c r="Q59" i="14"/>
  <c r="J17" i="3"/>
  <c r="J16" i="3"/>
  <c r="J14" i="3"/>
  <c r="G14" i="14"/>
  <c r="E6" i="10"/>
  <c r="Q133" i="14"/>
  <c r="D7" i="10"/>
  <c r="D13" i="10"/>
  <c r="D16" i="10"/>
  <c r="D17" i="10" s="1"/>
  <c r="I74" i="14"/>
  <c r="H18" i="3"/>
  <c r="F5" i="10"/>
  <c r="G4" i="10"/>
  <c r="I13" i="3"/>
  <c r="I15" i="3" s="1"/>
  <c r="F123" i="14"/>
  <c r="F185" i="14"/>
  <c r="F16" i="14"/>
  <c r="F67" i="14"/>
  <c r="L4" i="2"/>
  <c r="K12" i="3"/>
  <c r="E212" i="14" l="1"/>
  <c r="E214" i="14"/>
  <c r="E217" i="14" s="1"/>
  <c r="E202" i="14"/>
  <c r="G9" i="10"/>
  <c r="H14" i="6"/>
  <c r="E11" i="10"/>
  <c r="F16" i="6"/>
  <c r="F13" i="6" s="1"/>
  <c r="E15" i="10" s="1"/>
  <c r="I5" i="6"/>
  <c r="I6" i="6"/>
  <c r="G10" i="10"/>
  <c r="I3" i="6"/>
  <c r="I12" i="6" s="1"/>
  <c r="F4" i="6"/>
  <c r="G15" i="14" s="1"/>
  <c r="G7" i="6"/>
  <c r="D8" i="10"/>
  <c r="D12" i="10" s="1"/>
  <c r="H11" i="12"/>
  <c r="E216" i="14"/>
  <c r="E222" i="14" s="1"/>
  <c r="F197" i="14"/>
  <c r="F203" i="14"/>
  <c r="F209" i="14" s="1"/>
  <c r="F18" i="14"/>
  <c r="F20" i="14" s="1"/>
  <c r="E7" i="10"/>
  <c r="E13" i="10"/>
  <c r="E16" i="10"/>
  <c r="E17" i="10" s="1"/>
  <c r="J74" i="14"/>
  <c r="H14" i="14"/>
  <c r="F6" i="10"/>
  <c r="F68" i="14"/>
  <c r="F17" i="14"/>
  <c r="F124" i="14"/>
  <c r="F186" i="14"/>
  <c r="F192" i="14" s="1"/>
  <c r="F227" i="14" s="1"/>
  <c r="G185" i="14"/>
  <c r="G123" i="14"/>
  <c r="G16" i="14"/>
  <c r="G67" i="14"/>
  <c r="R133" i="14"/>
  <c r="I18" i="3"/>
  <c r="G5" i="10"/>
  <c r="K16" i="3"/>
  <c r="K17" i="3"/>
  <c r="K14" i="3"/>
  <c r="E218" i="14"/>
  <c r="F187" i="14"/>
  <c r="F75" i="14"/>
  <c r="F71" i="14"/>
  <c r="F73" i="14" s="1"/>
  <c r="F128" i="14"/>
  <c r="F189" i="14"/>
  <c r="F125" i="14"/>
  <c r="M4" i="2"/>
  <c r="L12" i="3"/>
  <c r="J13" i="3"/>
  <c r="J15" i="3" s="1"/>
  <c r="E4" i="12" l="1"/>
  <c r="E8" i="12" s="1"/>
  <c r="I14" i="6"/>
  <c r="F11" i="10"/>
  <c r="G16" i="6"/>
  <c r="G13" i="6" s="1"/>
  <c r="E5" i="12"/>
  <c r="E9" i="12" s="1"/>
  <c r="I15" i="6"/>
  <c r="E8" i="10"/>
  <c r="E14" i="10" s="1"/>
  <c r="D14" i="10"/>
  <c r="J6" i="6"/>
  <c r="J15" i="6" s="1"/>
  <c r="J3" i="6"/>
  <c r="J12" i="6" s="1"/>
  <c r="J5" i="6"/>
  <c r="J14" i="6" s="1"/>
  <c r="G4" i="6"/>
  <c r="H15" i="14" s="1"/>
  <c r="F15" i="10"/>
  <c r="H7" i="6"/>
  <c r="J61" i="14"/>
  <c r="I11" i="12"/>
  <c r="F228" i="14"/>
  <c r="E223" i="14"/>
  <c r="E220" i="14"/>
  <c r="F205" i="14"/>
  <c r="F211" i="14" s="1"/>
  <c r="F199" i="14"/>
  <c r="F77" i="14"/>
  <c r="F79" i="14" s="1"/>
  <c r="F13" i="10"/>
  <c r="F16" i="10"/>
  <c r="F17" i="10" s="1"/>
  <c r="F7" i="10"/>
  <c r="K74" i="14"/>
  <c r="F188" i="14"/>
  <c r="F194" i="14" s="1"/>
  <c r="F72" i="14"/>
  <c r="F76" i="14"/>
  <c r="J18" i="3"/>
  <c r="G71" i="14"/>
  <c r="G73" i="14" s="1"/>
  <c r="G75" i="14"/>
  <c r="G187" i="14"/>
  <c r="G6" i="10"/>
  <c r="I14" i="14"/>
  <c r="G203" i="14"/>
  <c r="G209" i="14" s="1"/>
  <c r="G18" i="14"/>
  <c r="G20" i="14" s="1"/>
  <c r="G197" i="14"/>
  <c r="E219" i="14"/>
  <c r="G189" i="14"/>
  <c r="G128" i="14"/>
  <c r="G125" i="14"/>
  <c r="F201" i="14"/>
  <c r="F207" i="14"/>
  <c r="F213" i="14" s="1"/>
  <c r="F130" i="14"/>
  <c r="S133" i="14"/>
  <c r="H185" i="14"/>
  <c r="H123" i="14"/>
  <c r="H67" i="14"/>
  <c r="H16" i="14"/>
  <c r="E230" i="14"/>
  <c r="F224" i="14"/>
  <c r="G186" i="14"/>
  <c r="G124" i="14"/>
  <c r="G68" i="14"/>
  <c r="G17" i="14"/>
  <c r="F129" i="14"/>
  <c r="F126" i="14"/>
  <c r="F190" i="14"/>
  <c r="L14" i="3"/>
  <c r="L17" i="3"/>
  <c r="L16" i="3"/>
  <c r="N4" i="2"/>
  <c r="M12" i="3"/>
  <c r="K13" i="3"/>
  <c r="K15" i="3" s="1"/>
  <c r="F204" i="14"/>
  <c r="F210" i="14" s="1"/>
  <c r="F215" i="14" s="1"/>
  <c r="F19" i="14"/>
  <c r="F21" i="14" s="1"/>
  <c r="F198" i="14"/>
  <c r="E12" i="10" l="1"/>
  <c r="G11" i="10"/>
  <c r="H16" i="6"/>
  <c r="H13" i="6" s="1"/>
  <c r="G15" i="10" s="1"/>
  <c r="H4" i="6"/>
  <c r="I15" i="14" s="1"/>
  <c r="I7" i="6"/>
  <c r="I16" i="6" s="1"/>
  <c r="I13" i="6" s="1"/>
  <c r="K5" i="6"/>
  <c r="K14" i="6" s="1"/>
  <c r="K6" i="6"/>
  <c r="K15" i="6" s="1"/>
  <c r="K3" i="6"/>
  <c r="K12" i="6" s="1"/>
  <c r="F8" i="10"/>
  <c r="F12" i="10" s="1"/>
  <c r="Y61" i="14"/>
  <c r="O61" i="14"/>
  <c r="R61" i="14"/>
  <c r="U61" i="14"/>
  <c r="AB61" i="14"/>
  <c r="K61" i="14"/>
  <c r="V61" i="14"/>
  <c r="N61" i="14"/>
  <c r="M61" i="14"/>
  <c r="S61" i="14"/>
  <c r="W61" i="14"/>
  <c r="Q61" i="14"/>
  <c r="T61" i="14"/>
  <c r="X61" i="14"/>
  <c r="AA61" i="14"/>
  <c r="AC61" i="14"/>
  <c r="L61" i="14"/>
  <c r="P61" i="14"/>
  <c r="Z61" i="14"/>
  <c r="E6" i="12"/>
  <c r="F225" i="14"/>
  <c r="F226" i="14"/>
  <c r="F196" i="14"/>
  <c r="F229" i="14" s="1"/>
  <c r="G224" i="14"/>
  <c r="G192" i="14"/>
  <c r="G227" i="14" s="1"/>
  <c r="F24" i="14"/>
  <c r="F25" i="14" s="1"/>
  <c r="F134" i="14"/>
  <c r="L74" i="14"/>
  <c r="G19" i="14"/>
  <c r="G21" i="14" s="1"/>
  <c r="G198" i="14"/>
  <c r="G204" i="14"/>
  <c r="G210" i="14" s="1"/>
  <c r="G215" i="14" s="1"/>
  <c r="I123" i="14"/>
  <c r="I185" i="14"/>
  <c r="I67" i="14"/>
  <c r="I16" i="14"/>
  <c r="K18" i="3"/>
  <c r="G72" i="14"/>
  <c r="G188" i="14"/>
  <c r="G194" i="14" s="1"/>
  <c r="G228" i="14" s="1"/>
  <c r="G76" i="14"/>
  <c r="T133" i="14"/>
  <c r="G7" i="10"/>
  <c r="G13" i="10"/>
  <c r="G16" i="10"/>
  <c r="G17" i="10" s="1"/>
  <c r="G205" i="14"/>
  <c r="G211" i="14" s="1"/>
  <c r="G199" i="14"/>
  <c r="G77" i="14"/>
  <c r="G79" i="14" s="1"/>
  <c r="H18" i="14"/>
  <c r="H20" i="14" s="1"/>
  <c r="H203" i="14"/>
  <c r="H209" i="14" s="1"/>
  <c r="H197" i="14"/>
  <c r="G130" i="14"/>
  <c r="G207" i="14"/>
  <c r="G213" i="14" s="1"/>
  <c r="G201" i="14"/>
  <c r="F14" i="10"/>
  <c r="H71" i="14"/>
  <c r="H73" i="14" s="1"/>
  <c r="H75" i="14"/>
  <c r="H187" i="14"/>
  <c r="F206" i="14"/>
  <c r="F212" i="14" s="1"/>
  <c r="F200" i="14"/>
  <c r="F78" i="14"/>
  <c r="J14" i="14"/>
  <c r="J123" i="14" s="1"/>
  <c r="O4" i="2"/>
  <c r="N12" i="3"/>
  <c r="H189" i="14"/>
  <c r="H128" i="14"/>
  <c r="H125" i="14"/>
  <c r="F208" i="14"/>
  <c r="F214" i="14" s="1"/>
  <c r="F217" i="14" s="1"/>
  <c r="F220" i="14" s="1"/>
  <c r="F202" i="14"/>
  <c r="F131" i="14"/>
  <c r="F135" i="14" s="1"/>
  <c r="E232" i="14"/>
  <c r="G190" i="14"/>
  <c r="G129" i="14"/>
  <c r="G126" i="14"/>
  <c r="F221" i="14"/>
  <c r="F218" i="14"/>
  <c r="H186" i="14"/>
  <c r="H192" i="14" s="1"/>
  <c r="H227" i="14" s="1"/>
  <c r="H68" i="14"/>
  <c r="H124" i="14"/>
  <c r="H17" i="14"/>
  <c r="M17" i="3"/>
  <c r="M16" i="3"/>
  <c r="M14" i="3"/>
  <c r="I4" i="6"/>
  <c r="L13" i="3"/>
  <c r="L15" i="3" s="1"/>
  <c r="E231" i="14"/>
  <c r="J125" i="14" l="1"/>
  <c r="D7" i="15" s="1"/>
  <c r="G8" i="10"/>
  <c r="G14" i="10" s="1"/>
  <c r="J7" i="6"/>
  <c r="L3" i="6"/>
  <c r="L12" i="6" s="1"/>
  <c r="L5" i="6"/>
  <c r="L14" i="6" s="1"/>
  <c r="L6" i="6"/>
  <c r="L15" i="6" s="1"/>
  <c r="J15" i="14"/>
  <c r="E10" i="12"/>
  <c r="E11" i="12" s="1"/>
  <c r="E7" i="12"/>
  <c r="F80" i="14"/>
  <c r="F84" i="14" s="1"/>
  <c r="F85" i="14" s="1"/>
  <c r="G226" i="14"/>
  <c r="G196" i="14"/>
  <c r="G229" i="14" s="1"/>
  <c r="G225" i="14"/>
  <c r="G134" i="14"/>
  <c r="H224" i="14"/>
  <c r="G218" i="14"/>
  <c r="G221" i="14"/>
  <c r="G230" i="14" s="1"/>
  <c r="F223" i="14"/>
  <c r="F216" i="14"/>
  <c r="P4" i="2"/>
  <c r="O12" i="3"/>
  <c r="H205" i="14"/>
  <c r="H211" i="14" s="1"/>
  <c r="H199" i="14"/>
  <c r="H77" i="14"/>
  <c r="H79" i="14" s="1"/>
  <c r="G24" i="14"/>
  <c r="I125" i="14"/>
  <c r="I189" i="14"/>
  <c r="I128" i="14"/>
  <c r="M74" i="14"/>
  <c r="F230" i="14"/>
  <c r="I124" i="14"/>
  <c r="I186" i="14"/>
  <c r="I68" i="14"/>
  <c r="I188" i="14" s="1"/>
  <c r="I17" i="14"/>
  <c r="J185" i="14"/>
  <c r="J16" i="14"/>
  <c r="J67" i="14"/>
  <c r="G208" i="14"/>
  <c r="G214" i="14" s="1"/>
  <c r="G217" i="14" s="1"/>
  <c r="G202" i="14"/>
  <c r="G131" i="14"/>
  <c r="G135" i="14" s="1"/>
  <c r="N14" i="3"/>
  <c r="N16" i="3"/>
  <c r="N17" i="3"/>
  <c r="H204" i="14"/>
  <c r="H210" i="14" s="1"/>
  <c r="H198" i="14"/>
  <c r="H19" i="14"/>
  <c r="H21" i="14" s="1"/>
  <c r="L18" i="3"/>
  <c r="H129" i="14"/>
  <c r="H126" i="14"/>
  <c r="H190" i="14"/>
  <c r="H196" i="14" s="1"/>
  <c r="H229" i="14" s="1"/>
  <c r="I75" i="14"/>
  <c r="I187" i="14"/>
  <c r="I71" i="14"/>
  <c r="I73" i="14" s="1"/>
  <c r="U133" i="14"/>
  <c r="M13" i="3"/>
  <c r="M15" i="3" s="1"/>
  <c r="H72" i="14"/>
  <c r="H76" i="14"/>
  <c r="H188" i="14"/>
  <c r="H194" i="14" s="1"/>
  <c r="H228" i="14" s="1"/>
  <c r="H207" i="14"/>
  <c r="H213" i="14" s="1"/>
  <c r="H130" i="14"/>
  <c r="H201" i="14"/>
  <c r="G200" i="14"/>
  <c r="G78" i="14"/>
  <c r="G80" i="14" s="1"/>
  <c r="G84" i="14" s="1"/>
  <c r="G206" i="14"/>
  <c r="G212" i="14" s="1"/>
  <c r="I203" i="14"/>
  <c r="I209" i="14" s="1"/>
  <c r="I18" i="14"/>
  <c r="I20" i="14" s="1"/>
  <c r="I197" i="14"/>
  <c r="F138" i="14"/>
  <c r="K14" i="14"/>
  <c r="K123" i="14" s="1"/>
  <c r="G12" i="10" l="1"/>
  <c r="J4" i="6"/>
  <c r="K15" i="14" s="1"/>
  <c r="J16" i="6"/>
  <c r="J13" i="6" s="1"/>
  <c r="M6" i="6"/>
  <c r="M15" i="6" s="1"/>
  <c r="K7" i="6"/>
  <c r="K16" i="6" s="1"/>
  <c r="K13" i="6" s="1"/>
  <c r="M3" i="6"/>
  <c r="M12" i="6" s="1"/>
  <c r="M5" i="6"/>
  <c r="I225" i="14"/>
  <c r="G138" i="14"/>
  <c r="H225" i="14"/>
  <c r="I194" i="14"/>
  <c r="I228" i="14" s="1"/>
  <c r="H226" i="14"/>
  <c r="I192" i="14"/>
  <c r="I227" i="14" s="1"/>
  <c r="H24" i="14"/>
  <c r="H134" i="14"/>
  <c r="G223" i="14"/>
  <c r="G232" i="14" s="1"/>
  <c r="G220" i="14"/>
  <c r="I76" i="14"/>
  <c r="I72" i="14"/>
  <c r="F139" i="14"/>
  <c r="N74" i="14"/>
  <c r="I19" i="14"/>
  <c r="I21" i="14" s="1"/>
  <c r="I204" i="14"/>
  <c r="I198" i="14"/>
  <c r="F232" i="14"/>
  <c r="J71" i="14"/>
  <c r="K16" i="14"/>
  <c r="K185" i="14"/>
  <c r="K67" i="14"/>
  <c r="D4" i="15"/>
  <c r="D5" i="15" s="1"/>
  <c r="J189" i="14"/>
  <c r="J128" i="14"/>
  <c r="I126" i="14"/>
  <c r="I129" i="14"/>
  <c r="I190" i="14"/>
  <c r="I196" i="14" s="1"/>
  <c r="I229" i="14" s="1"/>
  <c r="F219" i="14"/>
  <c r="F222" i="14"/>
  <c r="G216" i="14"/>
  <c r="I207" i="14"/>
  <c r="I213" i="14" s="1"/>
  <c r="I130" i="14"/>
  <c r="I201" i="14"/>
  <c r="O14" i="3"/>
  <c r="O16" i="3"/>
  <c r="O17" i="3"/>
  <c r="H4" i="10"/>
  <c r="N13" i="3"/>
  <c r="N15" i="3" s="1"/>
  <c r="M18" i="3"/>
  <c r="H200" i="14"/>
  <c r="H206" i="14"/>
  <c r="H212" i="14" s="1"/>
  <c r="H216" i="14" s="1"/>
  <c r="H78" i="14"/>
  <c r="H80" i="14" s="1"/>
  <c r="H84" i="14" s="1"/>
  <c r="H208" i="14"/>
  <c r="H214" i="14" s="1"/>
  <c r="H131" i="14"/>
  <c r="H135" i="14" s="1"/>
  <c r="H202" i="14"/>
  <c r="P12" i="3"/>
  <c r="Q4" i="2"/>
  <c r="I224" i="14"/>
  <c r="H215" i="14"/>
  <c r="J197" i="14"/>
  <c r="J18" i="14"/>
  <c r="J203" i="14"/>
  <c r="I199" i="14"/>
  <c r="I205" i="14"/>
  <c r="I211" i="14" s="1"/>
  <c r="I77" i="14"/>
  <c r="I79" i="14" s="1"/>
  <c r="G85" i="14"/>
  <c r="L14" i="14"/>
  <c r="L123" i="14" s="1"/>
  <c r="V133" i="14"/>
  <c r="G25" i="14"/>
  <c r="J186" i="14"/>
  <c r="J224" i="14" s="1"/>
  <c r="J68" i="14"/>
  <c r="J69" i="14" s="1"/>
  <c r="J124" i="14"/>
  <c r="H6" i="14"/>
  <c r="I6" i="14"/>
  <c r="H25" i="14" l="1"/>
  <c r="H9" i="10"/>
  <c r="M14" i="6"/>
  <c r="H138" i="14"/>
  <c r="K4" i="6"/>
  <c r="L15" i="14" s="1"/>
  <c r="H10" i="10"/>
  <c r="N3" i="6"/>
  <c r="N12" i="6" s="1"/>
  <c r="L7" i="6"/>
  <c r="N6" i="6"/>
  <c r="N15" i="6" s="1"/>
  <c r="N5" i="6"/>
  <c r="N14" i="6" s="1"/>
  <c r="J126" i="14"/>
  <c r="J83" i="14"/>
  <c r="J70" i="14"/>
  <c r="I5" i="16" s="1"/>
  <c r="G139" i="14"/>
  <c r="I210" i="14"/>
  <c r="I215" i="14" s="1"/>
  <c r="J188" i="14"/>
  <c r="J192" i="14"/>
  <c r="J227" i="14" s="1"/>
  <c r="I134" i="14"/>
  <c r="I226" i="14"/>
  <c r="L67" i="14"/>
  <c r="L16" i="14"/>
  <c r="L185" i="14"/>
  <c r="P16" i="3"/>
  <c r="P14" i="3"/>
  <c r="P17" i="3"/>
  <c r="G219" i="14"/>
  <c r="G222" i="14"/>
  <c r="G231" i="14" s="1"/>
  <c r="F231" i="14"/>
  <c r="K71" i="14"/>
  <c r="J190" i="14"/>
  <c r="J226" i="14" s="1"/>
  <c r="H85" i="14"/>
  <c r="M14" i="14"/>
  <c r="M123" i="14" s="1"/>
  <c r="K125" i="14"/>
  <c r="K189" i="14"/>
  <c r="K128" i="14"/>
  <c r="J209" i="14"/>
  <c r="E4" i="15"/>
  <c r="H217" i="14"/>
  <c r="O74" i="14"/>
  <c r="I131" i="14"/>
  <c r="I135" i="14" s="1"/>
  <c r="I208" i="14"/>
  <c r="I214" i="14" s="1"/>
  <c r="I202" i="14"/>
  <c r="W133" i="14"/>
  <c r="H218" i="14"/>
  <c r="H221" i="14"/>
  <c r="K68" i="14"/>
  <c r="K188" i="14" s="1"/>
  <c r="K186" i="14"/>
  <c r="K124" i="14"/>
  <c r="J72" i="14"/>
  <c r="J20" i="14"/>
  <c r="K197" i="14"/>
  <c r="K18" i="14"/>
  <c r="K203" i="14"/>
  <c r="I206" i="14"/>
  <c r="I212" i="14" s="1"/>
  <c r="I78" i="14"/>
  <c r="I80" i="14" s="1"/>
  <c r="I200" i="14"/>
  <c r="AB66" i="14"/>
  <c r="T66" i="14"/>
  <c r="L66" i="14"/>
  <c r="V66" i="14"/>
  <c r="M66" i="14"/>
  <c r="W66" i="14"/>
  <c r="K66" i="14"/>
  <c r="U66" i="14"/>
  <c r="J66" i="14"/>
  <c r="I82" i="14" s="1"/>
  <c r="S66" i="14"/>
  <c r="X66" i="14"/>
  <c r="R66" i="14"/>
  <c r="Z66" i="14"/>
  <c r="Y66" i="14"/>
  <c r="AA66" i="14"/>
  <c r="P66" i="14"/>
  <c r="Q66" i="14"/>
  <c r="O66" i="14"/>
  <c r="N66" i="14"/>
  <c r="AC66" i="14"/>
  <c r="O13" i="3"/>
  <c r="O15" i="3" s="1"/>
  <c r="J130" i="14"/>
  <c r="J201" i="14"/>
  <c r="J207" i="14"/>
  <c r="H219" i="14"/>
  <c r="H222" i="14"/>
  <c r="H231" i="14" s="1"/>
  <c r="H5" i="10"/>
  <c r="N18" i="3"/>
  <c r="E7" i="15"/>
  <c r="G7" i="15"/>
  <c r="H7" i="15" s="1"/>
  <c r="AB13" i="14"/>
  <c r="AB122" i="14" s="1"/>
  <c r="T13" i="14"/>
  <c r="L13" i="14"/>
  <c r="AA13" i="14"/>
  <c r="AA122" i="14" s="1"/>
  <c r="R13" i="14"/>
  <c r="Y13" i="14"/>
  <c r="Y122" i="14" s="1"/>
  <c r="Z13" i="14"/>
  <c r="Z122" i="14" s="1"/>
  <c r="Q13" i="14"/>
  <c r="P13" i="14"/>
  <c r="O13" i="14"/>
  <c r="U13" i="14"/>
  <c r="S13" i="14"/>
  <c r="N13" i="14"/>
  <c r="AC13" i="14"/>
  <c r="AC122" i="14" s="1"/>
  <c r="W13" i="14"/>
  <c r="V13" i="14"/>
  <c r="X13" i="14"/>
  <c r="J13" i="14"/>
  <c r="M13" i="14"/>
  <c r="K13" i="14"/>
  <c r="Q12" i="3"/>
  <c r="R4" i="2"/>
  <c r="H139" i="14" l="1"/>
  <c r="L4" i="6"/>
  <c r="M15" i="14" s="1"/>
  <c r="L16" i="6"/>
  <c r="L13" i="6" s="1"/>
  <c r="O5" i="6"/>
  <c r="O14" i="6" s="1"/>
  <c r="O6" i="6"/>
  <c r="O15" i="6" s="1"/>
  <c r="O3" i="6"/>
  <c r="O12" i="6" s="1"/>
  <c r="M7" i="6"/>
  <c r="D6" i="14"/>
  <c r="J21" i="14" s="1"/>
  <c r="I24" i="14"/>
  <c r="I25" i="14" s="1"/>
  <c r="D59" i="14"/>
  <c r="J135" i="14" s="1"/>
  <c r="J213" i="14"/>
  <c r="D8" i="15"/>
  <c r="D9" i="15" s="1"/>
  <c r="D11" i="15" s="1"/>
  <c r="J127" i="14"/>
  <c r="J132" i="14"/>
  <c r="J134" i="14" s="1"/>
  <c r="J76" i="14"/>
  <c r="J206" i="14" s="1"/>
  <c r="J75" i="14"/>
  <c r="I221" i="14"/>
  <c r="I230" i="14" s="1"/>
  <c r="I218" i="14"/>
  <c r="K192" i="14"/>
  <c r="K227" i="14" s="1"/>
  <c r="J196" i="14"/>
  <c r="J229" i="14" s="1"/>
  <c r="K224" i="14"/>
  <c r="K194" i="14"/>
  <c r="J194" i="14"/>
  <c r="I217" i="14"/>
  <c r="I220" i="14" s="1"/>
  <c r="I216" i="14"/>
  <c r="S122" i="14"/>
  <c r="H230" i="14"/>
  <c r="L186" i="14"/>
  <c r="L68" i="14"/>
  <c r="L188" i="14" s="1"/>
  <c r="L17" i="14"/>
  <c r="L124" i="14"/>
  <c r="J187" i="14"/>
  <c r="J225" i="14" s="1"/>
  <c r="K72" i="14"/>
  <c r="K76" i="14"/>
  <c r="K69" i="14"/>
  <c r="L71" i="14"/>
  <c r="N122" i="14"/>
  <c r="R122" i="14"/>
  <c r="K20" i="14"/>
  <c r="E5" i="15"/>
  <c r="C5" i="15" s="1"/>
  <c r="K122" i="14"/>
  <c r="M122" i="14"/>
  <c r="R12" i="3"/>
  <c r="S4" i="2"/>
  <c r="T122" i="14"/>
  <c r="K17" i="14"/>
  <c r="Q17" i="3"/>
  <c r="Q16" i="3"/>
  <c r="Q14" i="3"/>
  <c r="X122" i="14"/>
  <c r="P122" i="14"/>
  <c r="H220" i="14"/>
  <c r="H223" i="14"/>
  <c r="P13" i="3"/>
  <c r="P15" i="3" s="1"/>
  <c r="J73" i="14"/>
  <c r="K126" i="14"/>
  <c r="K190" i="14"/>
  <c r="L189" i="14"/>
  <c r="L125" i="14"/>
  <c r="L128" i="14"/>
  <c r="K201" i="14"/>
  <c r="K130" i="14"/>
  <c r="K207" i="14"/>
  <c r="V122" i="14"/>
  <c r="Q122" i="14"/>
  <c r="P74" i="14"/>
  <c r="U122" i="14"/>
  <c r="L122" i="14"/>
  <c r="M185" i="14"/>
  <c r="M16" i="14"/>
  <c r="M67" i="14"/>
  <c r="J122" i="14"/>
  <c r="I137" i="14" s="1"/>
  <c r="I138" i="14" s="1"/>
  <c r="I139" i="14" s="1"/>
  <c r="J17" i="14"/>
  <c r="O122" i="14"/>
  <c r="W122" i="14"/>
  <c r="H6" i="10"/>
  <c r="N14" i="14"/>
  <c r="N123" i="14" s="1"/>
  <c r="O18" i="3"/>
  <c r="X133" i="14"/>
  <c r="K209" i="14"/>
  <c r="L203" i="14"/>
  <c r="L197" i="14"/>
  <c r="L18" i="14"/>
  <c r="H11" i="10" l="1"/>
  <c r="M16" i="6"/>
  <c r="M13" i="6" s="1"/>
  <c r="H15" i="10" s="1"/>
  <c r="N7" i="6"/>
  <c r="N16" i="6" s="1"/>
  <c r="N13" i="6" s="1"/>
  <c r="P3" i="6"/>
  <c r="P12" i="6" s="1"/>
  <c r="P5" i="6"/>
  <c r="P14" i="6" s="1"/>
  <c r="P6" i="6"/>
  <c r="P15" i="6" s="1"/>
  <c r="M4" i="6"/>
  <c r="N15" i="14" s="1"/>
  <c r="K213" i="14"/>
  <c r="I84" i="14"/>
  <c r="I85" i="14" s="1"/>
  <c r="J212" i="14"/>
  <c r="J200" i="14"/>
  <c r="K127" i="14"/>
  <c r="K132" i="14"/>
  <c r="K70" i="14"/>
  <c r="K187" i="14" s="1"/>
  <c r="K225" i="14" s="1"/>
  <c r="K83" i="14"/>
  <c r="L194" i="14"/>
  <c r="K196" i="14"/>
  <c r="K229" i="14" s="1"/>
  <c r="L224" i="14"/>
  <c r="L192" i="14"/>
  <c r="L227" i="14" s="1"/>
  <c r="K226" i="14"/>
  <c r="K206" i="14"/>
  <c r="K200" i="14"/>
  <c r="J228" i="14"/>
  <c r="K73" i="14"/>
  <c r="I223" i="14"/>
  <c r="I232" i="14" s="1"/>
  <c r="L209" i="14"/>
  <c r="J24" i="14"/>
  <c r="K129" i="14"/>
  <c r="Y133" i="14"/>
  <c r="Z133" i="14" s="1"/>
  <c r="AA133" i="14" s="1"/>
  <c r="AB133" i="14" s="1"/>
  <c r="AC133" i="14" s="1"/>
  <c r="H7" i="10"/>
  <c r="H16" i="10"/>
  <c r="H17" i="10" s="1"/>
  <c r="H13" i="10"/>
  <c r="J129" i="14"/>
  <c r="M18" i="14"/>
  <c r="M197" i="14"/>
  <c r="M203" i="14"/>
  <c r="L20" i="14"/>
  <c r="H8" i="10"/>
  <c r="J80" i="14"/>
  <c r="Q13" i="3"/>
  <c r="Q15" i="3" s="1"/>
  <c r="M124" i="14"/>
  <c r="M68" i="14"/>
  <c r="M188" i="14" s="1"/>
  <c r="M17" i="14"/>
  <c r="M186" i="14"/>
  <c r="Q74" i="14"/>
  <c r="L207" i="14"/>
  <c r="L201" i="14"/>
  <c r="L130" i="14"/>
  <c r="L190" i="14"/>
  <c r="L129" i="14"/>
  <c r="L126" i="14"/>
  <c r="H232" i="14"/>
  <c r="K204" i="14"/>
  <c r="K198" i="14"/>
  <c r="AD23" i="14"/>
  <c r="M189" i="14"/>
  <c r="M128" i="14"/>
  <c r="M125" i="14"/>
  <c r="G4" i="15"/>
  <c r="H4" i="15" s="1"/>
  <c r="P18" i="3"/>
  <c r="J205" i="14"/>
  <c r="J77" i="14"/>
  <c r="J199" i="14"/>
  <c r="O14" i="14"/>
  <c r="O123" i="14" s="1"/>
  <c r="L198" i="14"/>
  <c r="L204" i="14"/>
  <c r="T4" i="2"/>
  <c r="S12" i="3"/>
  <c r="J198" i="14"/>
  <c r="S6" i="14"/>
  <c r="K78" i="14" s="1"/>
  <c r="K80" i="14" s="1"/>
  <c r="J204" i="14"/>
  <c r="E8" i="15"/>
  <c r="E9" i="15" s="1"/>
  <c r="R17" i="3"/>
  <c r="R16" i="3"/>
  <c r="R14" i="3"/>
  <c r="N16" i="14"/>
  <c r="N67" i="14"/>
  <c r="N185" i="14"/>
  <c r="M71" i="14"/>
  <c r="AD82" i="14"/>
  <c r="L76" i="14"/>
  <c r="L72" i="14"/>
  <c r="L69" i="14"/>
  <c r="L83" i="14" s="1"/>
  <c r="I222" i="14"/>
  <c r="I219" i="14"/>
  <c r="N4" i="6" l="1"/>
  <c r="O15" i="14" s="1"/>
  <c r="Q6" i="6"/>
  <c r="Q15" i="6" s="1"/>
  <c r="O7" i="6"/>
  <c r="O16" i="6" s="1"/>
  <c r="O13" i="6" s="1"/>
  <c r="Q5" i="6"/>
  <c r="Q14" i="6" s="1"/>
  <c r="Q3" i="6"/>
  <c r="Q12" i="6" s="1"/>
  <c r="L213" i="14"/>
  <c r="J211" i="14"/>
  <c r="C9" i="15"/>
  <c r="E11" i="15"/>
  <c r="K75" i="14"/>
  <c r="K77" i="14" s="1"/>
  <c r="L127" i="14"/>
  <c r="L132" i="14"/>
  <c r="L70" i="14"/>
  <c r="L75" i="14" s="1"/>
  <c r="L206" i="14"/>
  <c r="L200" i="14"/>
  <c r="M192" i="14"/>
  <c r="M227" i="14" s="1"/>
  <c r="J25" i="14"/>
  <c r="M224" i="14"/>
  <c r="K212" i="14"/>
  <c r="L196" i="14"/>
  <c r="L229" i="14" s="1"/>
  <c r="M194" i="14"/>
  <c r="L226" i="14"/>
  <c r="K228" i="14"/>
  <c r="K208" i="14"/>
  <c r="K202" i="14"/>
  <c r="L73" i="14"/>
  <c r="M209" i="14"/>
  <c r="L78" i="14"/>
  <c r="L80" i="14" s="1"/>
  <c r="K19" i="14"/>
  <c r="N197" i="14"/>
  <c r="N203" i="14"/>
  <c r="N18" i="14"/>
  <c r="M20" i="14"/>
  <c r="I6" i="16"/>
  <c r="D12" i="15"/>
  <c r="O185" i="14"/>
  <c r="O16" i="14"/>
  <c r="O67" i="14"/>
  <c r="K131" i="14"/>
  <c r="J202" i="14"/>
  <c r="J208" i="14"/>
  <c r="J214" i="14" s="1"/>
  <c r="G5" i="15"/>
  <c r="H5" i="15"/>
  <c r="H14" i="10"/>
  <c r="H12" i="10"/>
  <c r="R13" i="3"/>
  <c r="R15" i="3" s="1"/>
  <c r="M130" i="14"/>
  <c r="M207" i="14"/>
  <c r="M201" i="14"/>
  <c r="J138" i="14"/>
  <c r="L19" i="14"/>
  <c r="L210" i="14"/>
  <c r="M72" i="14"/>
  <c r="M76" i="14"/>
  <c r="M69" i="14"/>
  <c r="M126" i="14"/>
  <c r="M190" i="14"/>
  <c r="M226" i="14" s="1"/>
  <c r="M129" i="14"/>
  <c r="N128" i="14"/>
  <c r="N189" i="14"/>
  <c r="N125" i="14"/>
  <c r="P14" i="14"/>
  <c r="P123" i="14" s="1"/>
  <c r="I231" i="14"/>
  <c r="N71" i="14"/>
  <c r="S16" i="3"/>
  <c r="S14" i="3"/>
  <c r="S17" i="3"/>
  <c r="J79" i="14"/>
  <c r="J84" i="14" s="1"/>
  <c r="Q18" i="3"/>
  <c r="K134" i="14"/>
  <c r="R74" i="14"/>
  <c r="K210" i="14"/>
  <c r="N124" i="14"/>
  <c r="N68" i="14"/>
  <c r="N188" i="14" s="1"/>
  <c r="N186" i="14"/>
  <c r="N17" i="14"/>
  <c r="J210" i="14"/>
  <c r="J215" i="14" s="1"/>
  <c r="U4" i="2"/>
  <c r="T12" i="3"/>
  <c r="L202" i="14"/>
  <c r="L208" i="14"/>
  <c r="L131" i="14"/>
  <c r="M198" i="14"/>
  <c r="M204" i="14"/>
  <c r="M19" i="14"/>
  <c r="O4" i="6" l="1"/>
  <c r="P15" i="14" s="1"/>
  <c r="P7" i="6"/>
  <c r="P16" i="6" s="1"/>
  <c r="P13" i="6" s="1"/>
  <c r="R6" i="6"/>
  <c r="R3" i="6"/>
  <c r="R12" i="6" s="1"/>
  <c r="R5" i="6"/>
  <c r="M213" i="14"/>
  <c r="K199" i="14"/>
  <c r="K205" i="14"/>
  <c r="K211" i="14" s="1"/>
  <c r="K216" i="14" s="1"/>
  <c r="E12" i="15"/>
  <c r="C11" i="15"/>
  <c r="L187" i="14"/>
  <c r="L225" i="14" s="1"/>
  <c r="M127" i="14"/>
  <c r="M132" i="14"/>
  <c r="J85" i="14"/>
  <c r="M70" i="14"/>
  <c r="M75" i="14" s="1"/>
  <c r="M83" i="14"/>
  <c r="L214" i="14"/>
  <c r="N194" i="14"/>
  <c r="M196" i="14"/>
  <c r="M229" i="14" s="1"/>
  <c r="L212" i="14"/>
  <c r="K214" i="14"/>
  <c r="M200" i="14"/>
  <c r="M206" i="14"/>
  <c r="N224" i="14"/>
  <c r="N192" i="14"/>
  <c r="N227" i="14" s="1"/>
  <c r="M210" i="14"/>
  <c r="J216" i="14"/>
  <c r="K21" i="14"/>
  <c r="J217" i="14"/>
  <c r="F5" i="15"/>
  <c r="M208" i="14"/>
  <c r="M78" i="14"/>
  <c r="M80" i="14" s="1"/>
  <c r="N209" i="14"/>
  <c r="N198" i="14"/>
  <c r="N19" i="14"/>
  <c r="N204" i="14"/>
  <c r="M21" i="14"/>
  <c r="M24" i="14" s="1"/>
  <c r="U12" i="3"/>
  <c r="V4" i="2"/>
  <c r="P185" i="14"/>
  <c r="P67" i="14"/>
  <c r="H5" i="14"/>
  <c r="R18" i="3"/>
  <c r="O71" i="14"/>
  <c r="M73" i="14"/>
  <c r="L199" i="14"/>
  <c r="L77" i="14"/>
  <c r="L205" i="14"/>
  <c r="O203" i="14"/>
  <c r="O197" i="14"/>
  <c r="O18" i="14"/>
  <c r="M202" i="14"/>
  <c r="M131" i="14"/>
  <c r="O186" i="14"/>
  <c r="O192" i="14" s="1"/>
  <c r="O227" i="14" s="1"/>
  <c r="O68" i="14"/>
  <c r="O188" i="14" s="1"/>
  <c r="O124" i="14"/>
  <c r="O17" i="14"/>
  <c r="N20" i="14"/>
  <c r="S74" i="14"/>
  <c r="N129" i="14"/>
  <c r="N190" i="14"/>
  <c r="N126" i="14"/>
  <c r="G8" i="15"/>
  <c r="L215" i="14"/>
  <c r="K79" i="14"/>
  <c r="K84" i="14" s="1"/>
  <c r="I4" i="10"/>
  <c r="S13" i="3"/>
  <c r="S15" i="3" s="1"/>
  <c r="J139" i="14"/>
  <c r="L134" i="14"/>
  <c r="N76" i="14"/>
  <c r="N69" i="14"/>
  <c r="N72" i="14"/>
  <c r="Q14" i="14"/>
  <c r="Q123" i="14" s="1"/>
  <c r="L135" i="14"/>
  <c r="T14" i="3"/>
  <c r="T17" i="3"/>
  <c r="T16" i="3"/>
  <c r="K215" i="14"/>
  <c r="N201" i="14"/>
  <c r="N207" i="14"/>
  <c r="N130" i="14"/>
  <c r="L21" i="14"/>
  <c r="K135" i="14"/>
  <c r="O128" i="14"/>
  <c r="O189" i="14"/>
  <c r="O125" i="14"/>
  <c r="P4" i="6" l="1"/>
  <c r="Q15" i="14" s="1"/>
  <c r="I9" i="10"/>
  <c r="R14" i="6"/>
  <c r="I10" i="10"/>
  <c r="R15" i="6"/>
  <c r="S6" i="6"/>
  <c r="S15" i="6" s="1"/>
  <c r="S5" i="6"/>
  <c r="S14" i="6" s="1"/>
  <c r="S3" i="6"/>
  <c r="S12" i="6" s="1"/>
  <c r="Q7" i="6"/>
  <c r="L228" i="14"/>
  <c r="N127" i="14"/>
  <c r="N213" i="14"/>
  <c r="L211" i="14"/>
  <c r="M215" i="14"/>
  <c r="M187" i="14"/>
  <c r="M225" i="14" s="1"/>
  <c r="N70" i="14"/>
  <c r="N75" i="14" s="1"/>
  <c r="N83" i="14"/>
  <c r="K24" i="14"/>
  <c r="K25" i="14" s="1"/>
  <c r="M214" i="14"/>
  <c r="N196" i="14"/>
  <c r="N229" i="14" s="1"/>
  <c r="O194" i="14"/>
  <c r="M212" i="14"/>
  <c r="N206" i="14"/>
  <c r="N200" i="14"/>
  <c r="N226" i="14"/>
  <c r="J222" i="14"/>
  <c r="J219" i="14"/>
  <c r="N78" i="14"/>
  <c r="N80" i="14" s="1"/>
  <c r="N73" i="14"/>
  <c r="J220" i="14"/>
  <c r="O209" i="14"/>
  <c r="Q67" i="14"/>
  <c r="Q185" i="14"/>
  <c r="M77" i="14"/>
  <c r="M205" i="14"/>
  <c r="M199" i="14"/>
  <c r="K222" i="14"/>
  <c r="K219" i="14"/>
  <c r="J221" i="14"/>
  <c r="J218" i="14"/>
  <c r="O130" i="14"/>
  <c r="O207" i="14"/>
  <c r="O201" i="14"/>
  <c r="L138" i="14"/>
  <c r="L218" i="14"/>
  <c r="L221" i="14"/>
  <c r="O69" i="14"/>
  <c r="O70" i="14" s="1"/>
  <c r="O76" i="14"/>
  <c r="O72" i="14"/>
  <c r="V12" i="3"/>
  <c r="W4" i="2"/>
  <c r="U17" i="3"/>
  <c r="U14" i="3"/>
  <c r="U16" i="3"/>
  <c r="AB12" i="14"/>
  <c r="AB120" i="14" s="1"/>
  <c r="T12" i="14"/>
  <c r="V12" i="14"/>
  <c r="AC12" i="14"/>
  <c r="AC120" i="14" s="1"/>
  <c r="U12" i="14"/>
  <c r="S12" i="14"/>
  <c r="Q12" i="14"/>
  <c r="W12" i="14"/>
  <c r="R12" i="14"/>
  <c r="P12" i="14"/>
  <c r="AA12" i="14"/>
  <c r="AA120" i="14" s="1"/>
  <c r="Y12" i="14"/>
  <c r="Y120" i="14" s="1"/>
  <c r="X12" i="14"/>
  <c r="Z12" i="14"/>
  <c r="Z120" i="14" s="1"/>
  <c r="K138" i="14"/>
  <c r="P71" i="14"/>
  <c r="N21" i="14"/>
  <c r="N24" i="14" s="1"/>
  <c r="P124" i="14"/>
  <c r="P17" i="14"/>
  <c r="P186" i="14"/>
  <c r="P224" i="14" s="1"/>
  <c r="P68" i="14"/>
  <c r="R14" i="14"/>
  <c r="R123" i="14" s="1"/>
  <c r="S18" i="3"/>
  <c r="I5" i="10"/>
  <c r="O20" i="14"/>
  <c r="L24" i="14"/>
  <c r="T13" i="3"/>
  <c r="T15" i="3" s="1"/>
  <c r="L217" i="14"/>
  <c r="G9" i="15"/>
  <c r="H8" i="15"/>
  <c r="H9" i="15" s="1"/>
  <c r="O204" i="14"/>
  <c r="O19" i="14"/>
  <c r="O198" i="14"/>
  <c r="P189" i="14"/>
  <c r="P125" i="14"/>
  <c r="N132" i="14"/>
  <c r="M134" i="14"/>
  <c r="K221" i="14"/>
  <c r="K218" i="14"/>
  <c r="T74" i="14"/>
  <c r="E15" i="15"/>
  <c r="E14" i="15"/>
  <c r="N202" i="14"/>
  <c r="N131" i="14"/>
  <c r="N208" i="14"/>
  <c r="O190" i="14"/>
  <c r="O226" i="14" s="1"/>
  <c r="O126" i="14"/>
  <c r="O129" i="14"/>
  <c r="M135" i="14"/>
  <c r="N210" i="14"/>
  <c r="O224" i="14"/>
  <c r="L79" i="14"/>
  <c r="L84" i="14" s="1"/>
  <c r="Q4" i="6" l="1"/>
  <c r="R15" i="14" s="1"/>
  <c r="Q16" i="6"/>
  <c r="Q13" i="6" s="1"/>
  <c r="T5" i="6"/>
  <c r="T14" i="6" s="1"/>
  <c r="T3" i="6"/>
  <c r="T12" i="6" s="1"/>
  <c r="T6" i="6"/>
  <c r="T15" i="6" s="1"/>
  <c r="R7" i="6"/>
  <c r="M221" i="14"/>
  <c r="M218" i="14"/>
  <c r="M211" i="14"/>
  <c r="F9" i="15"/>
  <c r="H11" i="15"/>
  <c r="O127" i="14"/>
  <c r="O213" i="14"/>
  <c r="J231" i="14"/>
  <c r="M228" i="14"/>
  <c r="P188" i="14"/>
  <c r="P194" i="14" s="1"/>
  <c r="N187" i="14"/>
  <c r="N225" i="14" s="1"/>
  <c r="O83" i="14"/>
  <c r="O196" i="14"/>
  <c r="O229" i="14" s="1"/>
  <c r="O206" i="14"/>
  <c r="O200" i="14"/>
  <c r="N214" i="14"/>
  <c r="K217" i="14"/>
  <c r="P192" i="14"/>
  <c r="P227" i="14" s="1"/>
  <c r="N212" i="14"/>
  <c r="L216" i="14"/>
  <c r="L219" i="14" s="1"/>
  <c r="O73" i="14"/>
  <c r="O78" i="14"/>
  <c r="O80" i="14" s="1"/>
  <c r="N134" i="14"/>
  <c r="O131" i="14"/>
  <c r="O208" i="14"/>
  <c r="O202" i="14"/>
  <c r="O21" i="14"/>
  <c r="O24" i="14" s="1"/>
  <c r="T120" i="14"/>
  <c r="M138" i="14"/>
  <c r="N135" i="14"/>
  <c r="K85" i="14"/>
  <c r="L223" i="14"/>
  <c r="L220" i="14"/>
  <c r="P204" i="14"/>
  <c r="P19" i="14"/>
  <c r="P198" i="14"/>
  <c r="J230" i="14"/>
  <c r="K230" i="14"/>
  <c r="Q124" i="14"/>
  <c r="Q186" i="14"/>
  <c r="Q68" i="14"/>
  <c r="Q188" i="14" s="1"/>
  <c r="Q17" i="14"/>
  <c r="P126" i="14"/>
  <c r="P129" i="14"/>
  <c r="P190" i="14"/>
  <c r="P226" i="14" s="1"/>
  <c r="S14" i="14"/>
  <c r="S123" i="14" s="1"/>
  <c r="I6" i="10"/>
  <c r="V120" i="14"/>
  <c r="O75" i="14"/>
  <c r="O187" i="14"/>
  <c r="O225" i="14" s="1"/>
  <c r="J223" i="14"/>
  <c r="R120" i="14"/>
  <c r="X4" i="2"/>
  <c r="W12" i="3"/>
  <c r="K231" i="14"/>
  <c r="O132" i="14"/>
  <c r="T18" i="3"/>
  <c r="Q125" i="14"/>
  <c r="Q189" i="14"/>
  <c r="Q120" i="14"/>
  <c r="O210" i="14"/>
  <c r="W120" i="14"/>
  <c r="V14" i="3"/>
  <c r="V17" i="3"/>
  <c r="V16" i="3"/>
  <c r="M79" i="14"/>
  <c r="M84" i="14" s="1"/>
  <c r="G11" i="15"/>
  <c r="G12" i="15" s="1"/>
  <c r="N199" i="14"/>
  <c r="N77" i="14"/>
  <c r="N205" i="14"/>
  <c r="P69" i="14"/>
  <c r="P72" i="14"/>
  <c r="P76" i="14"/>
  <c r="S120" i="14"/>
  <c r="P120" i="14"/>
  <c r="D5" i="14"/>
  <c r="P16" i="14"/>
  <c r="U74" i="14"/>
  <c r="Q71" i="14"/>
  <c r="L230" i="14"/>
  <c r="L25" i="14"/>
  <c r="N215" i="14"/>
  <c r="K139" i="14"/>
  <c r="L139" i="14" s="1"/>
  <c r="R67" i="14"/>
  <c r="R185" i="14"/>
  <c r="R16" i="14"/>
  <c r="X120" i="14"/>
  <c r="U120" i="14"/>
  <c r="M230" i="14"/>
  <c r="U13" i="3"/>
  <c r="U15" i="3" s="1"/>
  <c r="Q16" i="14"/>
  <c r="I11" i="10" l="1"/>
  <c r="R16" i="6"/>
  <c r="R13" i="6" s="1"/>
  <c r="R4" i="6"/>
  <c r="S15" i="14" s="1"/>
  <c r="I15" i="10"/>
  <c r="S7" i="6"/>
  <c r="S16" i="6" s="1"/>
  <c r="S13" i="6" s="1"/>
  <c r="U6" i="6"/>
  <c r="U15" i="6" s="1"/>
  <c r="U5" i="6"/>
  <c r="U14" i="6" s="1"/>
  <c r="U3" i="6"/>
  <c r="U12" i="6" s="1"/>
  <c r="N228" i="14"/>
  <c r="N211" i="14"/>
  <c r="P70" i="14"/>
  <c r="I5" i="14" s="1"/>
  <c r="P83" i="14"/>
  <c r="L222" i="14"/>
  <c r="Q192" i="14"/>
  <c r="Q227" i="14" s="1"/>
  <c r="O212" i="14"/>
  <c r="P196" i="14"/>
  <c r="O214" i="14"/>
  <c r="Q194" i="14"/>
  <c r="K223" i="14"/>
  <c r="K220" i="14"/>
  <c r="P200" i="14"/>
  <c r="P206" i="14"/>
  <c r="O228" i="14"/>
  <c r="M139" i="14"/>
  <c r="P127" i="14"/>
  <c r="P78" i="14"/>
  <c r="P80" i="14" s="1"/>
  <c r="M217" i="14"/>
  <c r="P73" i="14"/>
  <c r="N217" i="14"/>
  <c r="N220" i="14" s="1"/>
  <c r="P210" i="14"/>
  <c r="R71" i="14"/>
  <c r="P128" i="14"/>
  <c r="Q126" i="14"/>
  <c r="Q129" i="14"/>
  <c r="Q190" i="14"/>
  <c r="Q226" i="14" s="1"/>
  <c r="Q203" i="14"/>
  <c r="Q197" i="14"/>
  <c r="R189" i="14"/>
  <c r="R128" i="14"/>
  <c r="R125" i="14"/>
  <c r="M216" i="14"/>
  <c r="O134" i="14"/>
  <c r="O135" i="14"/>
  <c r="S4" i="6"/>
  <c r="T15" i="14" s="1"/>
  <c r="W14" i="3"/>
  <c r="W17" i="3"/>
  <c r="W16" i="3"/>
  <c r="O205" i="14"/>
  <c r="O199" i="14"/>
  <c r="O77" i="14"/>
  <c r="Q204" i="14"/>
  <c r="Q19" i="14"/>
  <c r="Q198" i="14"/>
  <c r="V74" i="14"/>
  <c r="T14" i="14"/>
  <c r="T123" i="14" s="1"/>
  <c r="Q128" i="14"/>
  <c r="Q69" i="14"/>
  <c r="Q72" i="14"/>
  <c r="Q76" i="14"/>
  <c r="R68" i="14"/>
  <c r="R188" i="14" s="1"/>
  <c r="R124" i="14"/>
  <c r="R186" i="14"/>
  <c r="R17" i="14"/>
  <c r="I13" i="10"/>
  <c r="I16" i="10"/>
  <c r="I17" i="10" s="1"/>
  <c r="I7" i="10"/>
  <c r="N79" i="14"/>
  <c r="N84" i="14" s="1"/>
  <c r="X12" i="3"/>
  <c r="Y4" i="2"/>
  <c r="R197" i="14"/>
  <c r="R203" i="14"/>
  <c r="P20" i="14"/>
  <c r="V13" i="3"/>
  <c r="V15" i="3" s="1"/>
  <c r="L232" i="14"/>
  <c r="N221" i="14"/>
  <c r="N218" i="14"/>
  <c r="J232" i="14"/>
  <c r="P21" i="14"/>
  <c r="M25" i="14"/>
  <c r="S5" i="14"/>
  <c r="R18" i="14" s="1"/>
  <c r="P197" i="14"/>
  <c r="P203" i="14"/>
  <c r="S185" i="14"/>
  <c r="S16" i="14"/>
  <c r="S67" i="14"/>
  <c r="U18" i="3"/>
  <c r="AD22" i="14"/>
  <c r="N138" i="14"/>
  <c r="O215" i="14"/>
  <c r="P208" i="14"/>
  <c r="P131" i="14"/>
  <c r="P202" i="14"/>
  <c r="Q224" i="14"/>
  <c r="L85" i="14"/>
  <c r="I8" i="10" l="1"/>
  <c r="T7" i="6"/>
  <c r="T16" i="6" s="1"/>
  <c r="T13" i="6" s="1"/>
  <c r="V5" i="6"/>
  <c r="V14" i="6" s="1"/>
  <c r="V6" i="6"/>
  <c r="V15" i="6" s="1"/>
  <c r="V3" i="6"/>
  <c r="V12" i="6" s="1"/>
  <c r="P187" i="14"/>
  <c r="P225" i="14" s="1"/>
  <c r="O211" i="14"/>
  <c r="O216" i="14" s="1"/>
  <c r="L231" i="14"/>
  <c r="Q70" i="14"/>
  <c r="Q83" i="14"/>
  <c r="F5" i="14"/>
  <c r="P132" i="14" s="1"/>
  <c r="P121" i="14"/>
  <c r="O136" i="14" s="1"/>
  <c r="Q127" i="14"/>
  <c r="R192" i="14"/>
  <c r="R227" i="14" s="1"/>
  <c r="P212" i="14"/>
  <c r="Q206" i="14"/>
  <c r="Q200" i="14"/>
  <c r="R194" i="14"/>
  <c r="Q18" i="14"/>
  <c r="Q196" i="14"/>
  <c r="Q229" i="14" s="1"/>
  <c r="K232" i="14"/>
  <c r="P229" i="14"/>
  <c r="P214" i="14"/>
  <c r="R209" i="14"/>
  <c r="N139" i="14"/>
  <c r="Q210" i="14"/>
  <c r="R224" i="14"/>
  <c r="N223" i="14"/>
  <c r="N232" i="14" s="1"/>
  <c r="M220" i="14"/>
  <c r="M223" i="14"/>
  <c r="M85" i="14"/>
  <c r="Q78" i="14"/>
  <c r="Q80" i="14" s="1"/>
  <c r="S189" i="14"/>
  <c r="S125" i="14"/>
  <c r="S128" i="14"/>
  <c r="Y12" i="3"/>
  <c r="Z4" i="2"/>
  <c r="Q208" i="14"/>
  <c r="Q202" i="14"/>
  <c r="Q131" i="14"/>
  <c r="P135" i="14"/>
  <c r="S71" i="14"/>
  <c r="P24" i="14"/>
  <c r="S197" i="14"/>
  <c r="S18" i="14"/>
  <c r="S203" i="14"/>
  <c r="T67" i="14"/>
  <c r="T16" i="14"/>
  <c r="T189" i="14"/>
  <c r="T185" i="14"/>
  <c r="W74" i="14"/>
  <c r="M219" i="14"/>
  <c r="M222" i="14"/>
  <c r="Q209" i="14"/>
  <c r="X16" i="3"/>
  <c r="X14" i="3"/>
  <c r="X17" i="3"/>
  <c r="R198" i="14"/>
  <c r="R19" i="14"/>
  <c r="R204" i="14"/>
  <c r="Q21" i="14"/>
  <c r="R201" i="14"/>
  <c r="R207" i="14"/>
  <c r="R130" i="14"/>
  <c r="R20" i="14"/>
  <c r="S17" i="14"/>
  <c r="S186" i="14"/>
  <c r="S192" i="14" s="1"/>
  <c r="S227" i="14" s="1"/>
  <c r="S124" i="14"/>
  <c r="S68" i="14"/>
  <c r="S188" i="14" s="1"/>
  <c r="O79" i="14"/>
  <c r="N216" i="14"/>
  <c r="AA64" i="14"/>
  <c r="S64" i="14"/>
  <c r="X64" i="14"/>
  <c r="T64" i="14"/>
  <c r="AB64" i="14"/>
  <c r="AC64" i="14"/>
  <c r="R64" i="14"/>
  <c r="Q64" i="14"/>
  <c r="Z64" i="14"/>
  <c r="P64" i="14"/>
  <c r="O81" i="14" s="1"/>
  <c r="U64" i="14"/>
  <c r="W64" i="14"/>
  <c r="V64" i="14"/>
  <c r="Y64" i="14"/>
  <c r="P207" i="14"/>
  <c r="P213" i="14" s="1"/>
  <c r="P201" i="14"/>
  <c r="O218" i="14"/>
  <c r="O221" i="14"/>
  <c r="U14" i="14"/>
  <c r="U123" i="14" s="1"/>
  <c r="R129" i="14"/>
  <c r="R190" i="14"/>
  <c r="R126" i="14"/>
  <c r="Q207" i="14"/>
  <c r="Q213" i="14" s="1"/>
  <c r="Q201" i="14"/>
  <c r="Q130" i="14"/>
  <c r="Q73" i="14"/>
  <c r="T4" i="6"/>
  <c r="U15" i="14" s="1"/>
  <c r="N230" i="14"/>
  <c r="W13" i="3"/>
  <c r="W15" i="3" s="1"/>
  <c r="N25" i="14"/>
  <c r="P209" i="14"/>
  <c r="V18" i="3"/>
  <c r="I14" i="10"/>
  <c r="I12" i="10"/>
  <c r="R76" i="14"/>
  <c r="R72" i="14"/>
  <c r="R69" i="14"/>
  <c r="P228" i="14" l="1"/>
  <c r="W6" i="6"/>
  <c r="W15" i="6" s="1"/>
  <c r="U7" i="6"/>
  <c r="U16" i="6" s="1"/>
  <c r="U13" i="6" s="1"/>
  <c r="W3" i="6"/>
  <c r="W12" i="6" s="1"/>
  <c r="W5" i="6"/>
  <c r="Q132" i="14"/>
  <c r="Q134" i="14" s="1"/>
  <c r="Q187" i="14"/>
  <c r="Q225" i="14" s="1"/>
  <c r="O84" i="14"/>
  <c r="Q121" i="14"/>
  <c r="R121" i="14" s="1"/>
  <c r="R213" i="14"/>
  <c r="O138" i="14"/>
  <c r="D58" i="14"/>
  <c r="P79" i="14" s="1"/>
  <c r="R70" i="14"/>
  <c r="R187" i="14" s="1"/>
  <c r="R225" i="14" s="1"/>
  <c r="R83" i="14"/>
  <c r="R196" i="14"/>
  <c r="R229" i="14" s="1"/>
  <c r="Q20" i="14"/>
  <c r="S194" i="14"/>
  <c r="Q214" i="14"/>
  <c r="R200" i="14"/>
  <c r="R206" i="14"/>
  <c r="Q212" i="14"/>
  <c r="R226" i="14"/>
  <c r="S209" i="14"/>
  <c r="N85" i="14"/>
  <c r="R78" i="14"/>
  <c r="R80" i="14" s="1"/>
  <c r="R210" i="14"/>
  <c r="R215" i="14" s="1"/>
  <c r="Q75" i="14"/>
  <c r="Q199" i="14" s="1"/>
  <c r="O217" i="14"/>
  <c r="M232" i="14"/>
  <c r="R202" i="14"/>
  <c r="R131" i="14"/>
  <c r="R208" i="14"/>
  <c r="S190" i="14"/>
  <c r="S126" i="14"/>
  <c r="S129" i="14"/>
  <c r="Q215" i="14"/>
  <c r="Q221" i="14" s="1"/>
  <c r="Y17" i="3"/>
  <c r="Y16" i="3"/>
  <c r="Y14" i="3"/>
  <c r="R132" i="14"/>
  <c r="V14" i="14"/>
  <c r="V123" i="14" s="1"/>
  <c r="S204" i="14"/>
  <c r="S198" i="14"/>
  <c r="S19" i="14"/>
  <c r="S20" i="14"/>
  <c r="U185" i="14"/>
  <c r="U67" i="14"/>
  <c r="U16" i="14"/>
  <c r="X74" i="14"/>
  <c r="N219" i="14"/>
  <c r="N222" i="14"/>
  <c r="R21" i="14"/>
  <c r="T125" i="14"/>
  <c r="T128" i="14"/>
  <c r="O219" i="14"/>
  <c r="O222" i="14"/>
  <c r="X13" i="3"/>
  <c r="X15" i="3" s="1"/>
  <c r="J4" i="10"/>
  <c r="S201" i="14"/>
  <c r="S130" i="14"/>
  <c r="S207" i="14"/>
  <c r="U4" i="6"/>
  <c r="V15" i="14" s="1"/>
  <c r="O25" i="14"/>
  <c r="O230" i="14"/>
  <c r="T186" i="14"/>
  <c r="T68" i="14"/>
  <c r="T188" i="14" s="1"/>
  <c r="T17" i="14"/>
  <c r="T124" i="14"/>
  <c r="S72" i="14"/>
  <c r="S76" i="14"/>
  <c r="S69" i="14"/>
  <c r="T203" i="14"/>
  <c r="T18" i="14"/>
  <c r="T197" i="14"/>
  <c r="R127" i="14"/>
  <c r="S224" i="14"/>
  <c r="Q135" i="14"/>
  <c r="R73" i="14"/>
  <c r="M231" i="14"/>
  <c r="P215" i="14"/>
  <c r="P134" i="14"/>
  <c r="W18" i="3"/>
  <c r="P75" i="14"/>
  <c r="AD136" i="14"/>
  <c r="T71" i="14"/>
  <c r="AA4" i="2"/>
  <c r="Z12" i="3"/>
  <c r="J10" i="10" l="1"/>
  <c r="J9" i="10"/>
  <c r="W14" i="6"/>
  <c r="Q228" i="14"/>
  <c r="X3" i="6"/>
  <c r="X12" i="6" s="1"/>
  <c r="X5" i="6"/>
  <c r="X14" i="6" s="1"/>
  <c r="V7" i="6"/>
  <c r="V16" i="6" s="1"/>
  <c r="V13" i="6" s="1"/>
  <c r="X6" i="6"/>
  <c r="X15" i="6" s="1"/>
  <c r="S127" i="14"/>
  <c r="S213" i="14"/>
  <c r="O139" i="14"/>
  <c r="R75" i="14"/>
  <c r="R199" i="14" s="1"/>
  <c r="S70" i="14"/>
  <c r="S187" i="14" s="1"/>
  <c r="S225" i="14" s="1"/>
  <c r="S83" i="14"/>
  <c r="P84" i="14"/>
  <c r="Q24" i="14"/>
  <c r="S196" i="14"/>
  <c r="S229" i="14" s="1"/>
  <c r="S226" i="14"/>
  <c r="T209" i="14"/>
  <c r="S200" i="14"/>
  <c r="S206" i="14"/>
  <c r="R214" i="14"/>
  <c r="T224" i="14"/>
  <c r="T192" i="14"/>
  <c r="T227" i="14" s="1"/>
  <c r="R212" i="14"/>
  <c r="T194" i="14"/>
  <c r="R228" i="14"/>
  <c r="R134" i="14"/>
  <c r="O85" i="14"/>
  <c r="S73" i="14"/>
  <c r="S78" i="14"/>
  <c r="S80" i="14" s="1"/>
  <c r="R24" i="14"/>
  <c r="S210" i="14"/>
  <c r="Q205" i="14"/>
  <c r="Q211" i="14" s="1"/>
  <c r="O220" i="14"/>
  <c r="O223" i="14"/>
  <c r="S208" i="14"/>
  <c r="S131" i="14"/>
  <c r="S202" i="14"/>
  <c r="P199" i="14"/>
  <c r="R58" i="14"/>
  <c r="Q77" i="14" s="1"/>
  <c r="P205" i="14"/>
  <c r="P211" i="14" s="1"/>
  <c r="T20" i="14"/>
  <c r="U197" i="14"/>
  <c r="U203" i="14"/>
  <c r="U18" i="14"/>
  <c r="Y74" i="14"/>
  <c r="W14" i="14"/>
  <c r="W123" i="14" s="1"/>
  <c r="Y13" i="3"/>
  <c r="Y15" i="3" s="1"/>
  <c r="S121" i="14"/>
  <c r="S132" i="14"/>
  <c r="Z17" i="3"/>
  <c r="Z16" i="3"/>
  <c r="Z14" i="3"/>
  <c r="T76" i="14"/>
  <c r="T69" i="14"/>
  <c r="T72" i="14"/>
  <c r="Q218" i="14"/>
  <c r="P138" i="14"/>
  <c r="T190" i="14"/>
  <c r="T129" i="14"/>
  <c r="T126" i="14"/>
  <c r="J5" i="10"/>
  <c r="X18" i="3"/>
  <c r="AD81" i="14"/>
  <c r="O231" i="14"/>
  <c r="R135" i="14"/>
  <c r="AB4" i="2"/>
  <c r="AA12" i="3"/>
  <c r="Q138" i="14"/>
  <c r="T207" i="14"/>
  <c r="T201" i="14"/>
  <c r="T130" i="14"/>
  <c r="N231" i="14"/>
  <c r="V16" i="14"/>
  <c r="V67" i="14"/>
  <c r="V185" i="14"/>
  <c r="P221" i="14"/>
  <c r="P218" i="14"/>
  <c r="P25" i="14"/>
  <c r="U71" i="14"/>
  <c r="U189" i="14"/>
  <c r="U128" i="14"/>
  <c r="U125" i="14"/>
  <c r="R218" i="14"/>
  <c r="R221" i="14"/>
  <c r="T198" i="14"/>
  <c r="T19" i="14"/>
  <c r="T204" i="14"/>
  <c r="U186" i="14"/>
  <c r="U124" i="14"/>
  <c r="U68" i="14"/>
  <c r="U188" i="14" s="1"/>
  <c r="U17" i="14"/>
  <c r="V4" i="6"/>
  <c r="W15" i="14" s="1"/>
  <c r="P217" i="14"/>
  <c r="P220" i="14" s="1"/>
  <c r="S21" i="14"/>
  <c r="S24" i="14" s="1"/>
  <c r="Y3" i="6" l="1"/>
  <c r="Y12" i="6" s="1"/>
  <c r="Y6" i="6"/>
  <c r="Y15" i="6" s="1"/>
  <c r="Y5" i="6"/>
  <c r="Y14" i="6" s="1"/>
  <c r="W7" i="6"/>
  <c r="T127" i="14"/>
  <c r="T213" i="14"/>
  <c r="R205" i="14"/>
  <c r="S75" i="14"/>
  <c r="S205" i="14" s="1"/>
  <c r="T70" i="14"/>
  <c r="T83" i="14"/>
  <c r="S215" i="14"/>
  <c r="S221" i="14" s="1"/>
  <c r="T196" i="14"/>
  <c r="T229" i="14" s="1"/>
  <c r="T226" i="14"/>
  <c r="S214" i="14"/>
  <c r="T200" i="14"/>
  <c r="T206" i="14"/>
  <c r="U224" i="14"/>
  <c r="U192" i="14"/>
  <c r="U227" i="14" s="1"/>
  <c r="S212" i="14"/>
  <c r="U194" i="14"/>
  <c r="U209" i="14"/>
  <c r="S228" i="14"/>
  <c r="Q217" i="14"/>
  <c r="Q220" i="14" s="1"/>
  <c r="O232" i="14"/>
  <c r="T78" i="14"/>
  <c r="T80" i="14" s="1"/>
  <c r="P139" i="14"/>
  <c r="Q139" i="14" s="1"/>
  <c r="U190" i="14"/>
  <c r="U126" i="14"/>
  <c r="U129" i="14"/>
  <c r="R230" i="14"/>
  <c r="U198" i="14"/>
  <c r="U204" i="14"/>
  <c r="U19" i="14"/>
  <c r="Q25" i="14"/>
  <c r="Q230" i="14"/>
  <c r="U72" i="14"/>
  <c r="U69" i="14"/>
  <c r="U76" i="14"/>
  <c r="S134" i="14"/>
  <c r="P216" i="14"/>
  <c r="P219" i="14" s="1"/>
  <c r="S135" i="14"/>
  <c r="Q79" i="14"/>
  <c r="Q84" i="14" s="1"/>
  <c r="V18" i="14"/>
  <c r="V197" i="14"/>
  <c r="V203" i="14"/>
  <c r="V124" i="14"/>
  <c r="V68" i="14"/>
  <c r="V186" i="14"/>
  <c r="V17" i="14"/>
  <c r="T132" i="14"/>
  <c r="T73" i="14"/>
  <c r="R77" i="14"/>
  <c r="R79" i="14" s="1"/>
  <c r="Z74" i="14"/>
  <c r="V128" i="14"/>
  <c r="V125" i="14"/>
  <c r="V189" i="14"/>
  <c r="T21" i="14"/>
  <c r="AA16" i="3"/>
  <c r="AA17" i="3"/>
  <c r="AA14" i="3"/>
  <c r="P85" i="14"/>
  <c r="AC4" i="2"/>
  <c r="AC12" i="3" s="1"/>
  <c r="AB12" i="3"/>
  <c r="T202" i="14"/>
  <c r="T131" i="14"/>
  <c r="T208" i="14"/>
  <c r="Y18" i="3"/>
  <c r="U20" i="14"/>
  <c r="U201" i="14"/>
  <c r="U130" i="14"/>
  <c r="U207" i="14"/>
  <c r="V71" i="14"/>
  <c r="T121" i="14"/>
  <c r="P223" i="14"/>
  <c r="Z13" i="3"/>
  <c r="Z15" i="3" s="1"/>
  <c r="R138" i="14"/>
  <c r="P230" i="14"/>
  <c r="T210" i="14"/>
  <c r="X14" i="14"/>
  <c r="X123" i="14" s="1"/>
  <c r="J6" i="10"/>
  <c r="W16" i="14"/>
  <c r="W67" i="14"/>
  <c r="W185" i="14"/>
  <c r="J11" i="10" l="1"/>
  <c r="W16" i="6"/>
  <c r="W13" i="6" s="1"/>
  <c r="J15" i="10"/>
  <c r="X7" i="6"/>
  <c r="X16" i="6" s="1"/>
  <c r="X13" i="6" s="1"/>
  <c r="Z3" i="6"/>
  <c r="Z12" i="6" s="1"/>
  <c r="Z6" i="6"/>
  <c r="Z15" i="6" s="1"/>
  <c r="Z5" i="6"/>
  <c r="Z14" i="6" s="1"/>
  <c r="W4" i="6"/>
  <c r="X15" i="14" s="1"/>
  <c r="S199" i="14"/>
  <c r="S77" i="14"/>
  <c r="S79" i="14" s="1"/>
  <c r="S84" i="14" s="1"/>
  <c r="S211" i="14"/>
  <c r="R211" i="14"/>
  <c r="R216" i="14" s="1"/>
  <c r="R219" i="14" s="1"/>
  <c r="U127" i="14"/>
  <c r="U213" i="14"/>
  <c r="T75" i="14"/>
  <c r="T77" i="14" s="1"/>
  <c r="T187" i="14"/>
  <c r="T225" i="14" s="1"/>
  <c r="V188" i="14"/>
  <c r="V194" i="14" s="1"/>
  <c r="U70" i="14"/>
  <c r="U187" i="14" s="1"/>
  <c r="U225" i="14" s="1"/>
  <c r="U83" i="14"/>
  <c r="S218" i="14"/>
  <c r="T214" i="14"/>
  <c r="U196" i="14"/>
  <c r="U229" i="14" s="1"/>
  <c r="T212" i="14"/>
  <c r="U200" i="14"/>
  <c r="U206" i="14"/>
  <c r="T134" i="14"/>
  <c r="V192" i="14"/>
  <c r="V227" i="14" s="1"/>
  <c r="U226" i="14"/>
  <c r="Q223" i="14"/>
  <c r="V224" i="14"/>
  <c r="V209" i="14"/>
  <c r="U78" i="14"/>
  <c r="U80" i="14" s="1"/>
  <c r="T24" i="14"/>
  <c r="Q216" i="14"/>
  <c r="Q222" i="14" s="1"/>
  <c r="R217" i="14"/>
  <c r="U210" i="14"/>
  <c r="U202" i="14"/>
  <c r="U131" i="14"/>
  <c r="U208" i="14"/>
  <c r="Y14" i="14"/>
  <c r="Y123" i="14" s="1"/>
  <c r="AA74" i="14"/>
  <c r="U121" i="14"/>
  <c r="V201" i="14"/>
  <c r="V130" i="14"/>
  <c r="V207" i="14"/>
  <c r="U21" i="14"/>
  <c r="U24" i="14" s="1"/>
  <c r="R84" i="14"/>
  <c r="V20" i="14"/>
  <c r="W186" i="14"/>
  <c r="W124" i="14"/>
  <c r="W68" i="14"/>
  <c r="W17" i="14"/>
  <c r="R139" i="14"/>
  <c r="X185" i="14"/>
  <c r="X16" i="14"/>
  <c r="X67" i="14"/>
  <c r="U73" i="14"/>
  <c r="AC16" i="3"/>
  <c r="AC14" i="3"/>
  <c r="AC17" i="3"/>
  <c r="V72" i="14"/>
  <c r="V69" i="14"/>
  <c r="V76" i="14"/>
  <c r="V19" i="14"/>
  <c r="V204" i="14"/>
  <c r="V198" i="14"/>
  <c r="U132" i="14"/>
  <c r="W71" i="14"/>
  <c r="AB16" i="3"/>
  <c r="AB17" i="3"/>
  <c r="AB14" i="3"/>
  <c r="W125" i="14"/>
  <c r="W128" i="14"/>
  <c r="W189" i="14"/>
  <c r="T215" i="14"/>
  <c r="T135" i="14"/>
  <c r="V129" i="14"/>
  <c r="V190" i="14"/>
  <c r="V126" i="14"/>
  <c r="R25" i="14"/>
  <c r="S230" i="14"/>
  <c r="J7" i="10"/>
  <c r="J13" i="10"/>
  <c r="J16" i="10"/>
  <c r="J17" i="10" s="1"/>
  <c r="Z18" i="3"/>
  <c r="W197" i="14"/>
  <c r="W203" i="14"/>
  <c r="W18" i="14"/>
  <c r="P232" i="14"/>
  <c r="AA13" i="3"/>
  <c r="AA15" i="3" s="1"/>
  <c r="S138" i="14"/>
  <c r="X4" i="6" l="1"/>
  <c r="Y15" i="14" s="1"/>
  <c r="J8" i="10"/>
  <c r="J12" i="10" s="1"/>
  <c r="AA3" i="6"/>
  <c r="AA12" i="6" s="1"/>
  <c r="AA5" i="6"/>
  <c r="AA14" i="6" s="1"/>
  <c r="AA6" i="6"/>
  <c r="AA15" i="6" s="1"/>
  <c r="AB6" i="6"/>
  <c r="Y7" i="6"/>
  <c r="Y16" i="6" s="1"/>
  <c r="Y13" i="6" s="1"/>
  <c r="AB3" i="6"/>
  <c r="AB12" i="6" s="1"/>
  <c r="AB5" i="6"/>
  <c r="V213" i="14"/>
  <c r="T228" i="14"/>
  <c r="T205" i="14"/>
  <c r="T199" i="14"/>
  <c r="U75" i="14"/>
  <c r="U205" i="14" s="1"/>
  <c r="W188" i="14"/>
  <c r="W194" i="14" s="1"/>
  <c r="V70" i="14"/>
  <c r="V83" i="14"/>
  <c r="Q232" i="14"/>
  <c r="R222" i="14"/>
  <c r="R231" i="14" s="1"/>
  <c r="U214" i="14"/>
  <c r="V196" i="14"/>
  <c r="V229" i="14" s="1"/>
  <c r="V226" i="14"/>
  <c r="U212" i="14"/>
  <c r="V206" i="14"/>
  <c r="V200" i="14"/>
  <c r="W224" i="14"/>
  <c r="W192" i="14"/>
  <c r="W227" i="14" s="1"/>
  <c r="U228" i="14"/>
  <c r="S216" i="14"/>
  <c r="S219" i="14" s="1"/>
  <c r="S217" i="14"/>
  <c r="V210" i="14"/>
  <c r="R223" i="14"/>
  <c r="R220" i="14"/>
  <c r="U134" i="14"/>
  <c r="Q85" i="14"/>
  <c r="S139" i="14"/>
  <c r="Q219" i="14"/>
  <c r="V78" i="14"/>
  <c r="V80" i="14" s="1"/>
  <c r="U215" i="14"/>
  <c r="V132" i="14"/>
  <c r="T218" i="14"/>
  <c r="T221" i="14"/>
  <c r="AB74" i="14"/>
  <c r="W20" i="14"/>
  <c r="AC74" i="14"/>
  <c r="W198" i="14"/>
  <c r="W204" i="14"/>
  <c r="W19" i="14"/>
  <c r="P222" i="14"/>
  <c r="W76" i="14"/>
  <c r="W72" i="14"/>
  <c r="W69" i="14"/>
  <c r="U135" i="14"/>
  <c r="V21" i="14"/>
  <c r="V24" i="14" s="1"/>
  <c r="K4" i="10"/>
  <c r="AC13" i="3"/>
  <c r="AC15" i="3" s="1"/>
  <c r="X203" i="14"/>
  <c r="X197" i="14"/>
  <c r="X18" i="14"/>
  <c r="T79" i="14"/>
  <c r="T84" i="14" s="1"/>
  <c r="W190" i="14"/>
  <c r="W129" i="14"/>
  <c r="W126" i="14"/>
  <c r="X189" i="14"/>
  <c r="X128" i="14"/>
  <c r="X125" i="14"/>
  <c r="T138" i="14"/>
  <c r="V73" i="14"/>
  <c r="W209" i="14"/>
  <c r="X71" i="14"/>
  <c r="V127" i="14"/>
  <c r="Y16" i="14"/>
  <c r="Y67" i="14"/>
  <c r="Y185" i="14"/>
  <c r="V202" i="14"/>
  <c r="V131" i="14"/>
  <c r="V208" i="14"/>
  <c r="Z14" i="14"/>
  <c r="Z123" i="14" s="1"/>
  <c r="W201" i="14"/>
  <c r="W207" i="14"/>
  <c r="W130" i="14"/>
  <c r="X68" i="14"/>
  <c r="X17" i="14"/>
  <c r="X124" i="14"/>
  <c r="X186" i="14"/>
  <c r="AB13" i="3"/>
  <c r="AB15" i="3" s="1"/>
  <c r="AA18" i="3"/>
  <c r="S25" i="14"/>
  <c r="T217" i="14"/>
  <c r="V121" i="14"/>
  <c r="J14" i="10" l="1"/>
  <c r="Y4" i="6"/>
  <c r="Z15" i="14" s="1"/>
  <c r="K10" i="10"/>
  <c r="AB15" i="6"/>
  <c r="K9" i="10"/>
  <c r="AB14" i="6"/>
  <c r="Z7" i="6"/>
  <c r="Z16" i="6" s="1"/>
  <c r="Z13" i="6" s="1"/>
  <c r="U77" i="14"/>
  <c r="U79" i="14" s="1"/>
  <c r="U84" i="14" s="1"/>
  <c r="U199" i="14"/>
  <c r="T211" i="14"/>
  <c r="T216" i="14" s="1"/>
  <c r="U211" i="14"/>
  <c r="U216" i="14" s="1"/>
  <c r="W127" i="14"/>
  <c r="W213" i="14"/>
  <c r="V75" i="14"/>
  <c r="V77" i="14" s="1"/>
  <c r="V187" i="14"/>
  <c r="V225" i="14" s="1"/>
  <c r="X188" i="14"/>
  <c r="X194" i="14" s="1"/>
  <c r="W70" i="14"/>
  <c r="W187" i="14" s="1"/>
  <c r="W225" i="14" s="1"/>
  <c r="W83" i="14"/>
  <c r="S223" i="14"/>
  <c r="S232" i="14" s="1"/>
  <c r="S220" i="14"/>
  <c r="V215" i="14"/>
  <c r="W206" i="14"/>
  <c r="W200" i="14"/>
  <c r="W196" i="14"/>
  <c r="W229" i="14" s="1"/>
  <c r="W226" i="14"/>
  <c r="U218" i="14"/>
  <c r="V214" i="14"/>
  <c r="V212" i="14"/>
  <c r="S222" i="14"/>
  <c r="X192" i="14"/>
  <c r="X227" i="14" s="1"/>
  <c r="U138" i="14"/>
  <c r="R85" i="14"/>
  <c r="S85" i="14" s="1"/>
  <c r="X224" i="14"/>
  <c r="W78" i="14"/>
  <c r="W80" i="14" s="1"/>
  <c r="U221" i="14"/>
  <c r="U230" i="14" s="1"/>
  <c r="Q231" i="14"/>
  <c r="R232" i="14"/>
  <c r="X209" i="14"/>
  <c r="W73" i="14"/>
  <c r="W210" i="14"/>
  <c r="Y124" i="14"/>
  <c r="Y68" i="14"/>
  <c r="Y17" i="14"/>
  <c r="Y186" i="14"/>
  <c r="X69" i="14"/>
  <c r="X72" i="14"/>
  <c r="X76" i="14"/>
  <c r="T25" i="14"/>
  <c r="X126" i="14"/>
  <c r="X129" i="14"/>
  <c r="X190" i="14"/>
  <c r="X226" i="14" s="1"/>
  <c r="Y203" i="14"/>
  <c r="Y209" i="14" s="1"/>
  <c r="Y197" i="14"/>
  <c r="Y18" i="14"/>
  <c r="Y20" i="14" s="1"/>
  <c r="W202" i="14"/>
  <c r="W208" i="14"/>
  <c r="W131" i="14"/>
  <c r="X204" i="14"/>
  <c r="X19" i="14"/>
  <c r="X198" i="14"/>
  <c r="AA14" i="14"/>
  <c r="AA123" i="14" s="1"/>
  <c r="K5" i="10"/>
  <c r="AC18" i="3"/>
  <c r="Y125" i="14"/>
  <c r="Y128" i="14"/>
  <c r="Y189" i="14"/>
  <c r="T230" i="14"/>
  <c r="X20" i="14"/>
  <c r="AB18" i="3"/>
  <c r="X130" i="14"/>
  <c r="X207" i="14"/>
  <c r="X201" i="14"/>
  <c r="W132" i="14"/>
  <c r="P231" i="14"/>
  <c r="W21" i="14"/>
  <c r="T220" i="14"/>
  <c r="T223" i="14"/>
  <c r="V135" i="14"/>
  <c r="V134" i="14"/>
  <c r="Z4" i="6"/>
  <c r="AA15" i="14" s="1"/>
  <c r="W121" i="14"/>
  <c r="T139" i="14"/>
  <c r="Z67" i="14"/>
  <c r="Z185" i="14"/>
  <c r="Z16" i="14"/>
  <c r="Y71" i="14"/>
  <c r="AA7" i="6" l="1"/>
  <c r="AA16" i="6" s="1"/>
  <c r="AA13" i="6" s="1"/>
  <c r="AB7" i="6"/>
  <c r="V205" i="14"/>
  <c r="V211" i="14" s="1"/>
  <c r="V199" i="14"/>
  <c r="X213" i="14"/>
  <c r="V228" i="14"/>
  <c r="Y188" i="14"/>
  <c r="Y194" i="14" s="1"/>
  <c r="V221" i="14"/>
  <c r="V230" i="14" s="1"/>
  <c r="V218" i="14"/>
  <c r="X70" i="14"/>
  <c r="X187" i="14" s="1"/>
  <c r="X225" i="14" s="1"/>
  <c r="X83" i="14"/>
  <c r="W75" i="14"/>
  <c r="W205" i="14" s="1"/>
  <c r="U139" i="14"/>
  <c r="W214" i="14"/>
  <c r="Y224" i="14"/>
  <c r="Y192" i="14"/>
  <c r="Y227" i="14" s="1"/>
  <c r="S231" i="14"/>
  <c r="X196" i="14"/>
  <c r="X229" i="14" s="1"/>
  <c r="X206" i="14"/>
  <c r="X200" i="14"/>
  <c r="W212" i="14"/>
  <c r="W228" i="14"/>
  <c r="T85" i="14"/>
  <c r="W215" i="14"/>
  <c r="X78" i="14"/>
  <c r="X80" i="14" s="1"/>
  <c r="X73" i="14"/>
  <c r="W24" i="14"/>
  <c r="U217" i="14"/>
  <c r="Y204" i="14"/>
  <c r="Y210" i="14" s="1"/>
  <c r="Y215" i="14" s="1"/>
  <c r="Y19" i="14"/>
  <c r="Y21" i="14" s="1"/>
  <c r="Y198" i="14"/>
  <c r="AA67" i="14"/>
  <c r="AA185" i="14"/>
  <c r="AA16" i="14"/>
  <c r="X132" i="14"/>
  <c r="Z68" i="14"/>
  <c r="Z17" i="14"/>
  <c r="Z124" i="14"/>
  <c r="Z186" i="14"/>
  <c r="U222" i="14"/>
  <c r="U219" i="14"/>
  <c r="V217" i="14"/>
  <c r="T232" i="14"/>
  <c r="W134" i="14"/>
  <c r="Y207" i="14"/>
  <c r="Y130" i="14"/>
  <c r="Y201" i="14"/>
  <c r="Y69" i="14"/>
  <c r="Y72" i="14"/>
  <c r="Y73" i="14" s="1"/>
  <c r="Y76" i="14"/>
  <c r="V79" i="14"/>
  <c r="V84" i="14" s="1"/>
  <c r="Z71" i="14"/>
  <c r="X121" i="14"/>
  <c r="V138" i="14"/>
  <c r="T222" i="14"/>
  <c r="T219" i="14"/>
  <c r="U25" i="14"/>
  <c r="Z203" i="14"/>
  <c r="Z209" i="14" s="1"/>
  <c r="Z197" i="14"/>
  <c r="Z18" i="14"/>
  <c r="Z20" i="14" s="1"/>
  <c r="X210" i="14"/>
  <c r="Z128" i="14"/>
  <c r="Z189" i="14"/>
  <c r="Z125" i="14"/>
  <c r="AB14" i="14"/>
  <c r="AB123" i="14" s="1"/>
  <c r="X127" i="14"/>
  <c r="X21" i="14"/>
  <c r="K6" i="10"/>
  <c r="AC14" i="14"/>
  <c r="AC123" i="14" s="1"/>
  <c r="W135" i="14"/>
  <c r="Y126" i="14"/>
  <c r="Y129" i="14"/>
  <c r="Y190" i="14"/>
  <c r="Y226" i="14" s="1"/>
  <c r="AB4" i="6"/>
  <c r="AC15" i="14" s="1"/>
  <c r="X208" i="14"/>
  <c r="X202" i="14"/>
  <c r="X131" i="14"/>
  <c r="AA4" i="6" l="1"/>
  <c r="AB15" i="14" s="1"/>
  <c r="K11" i="10"/>
  <c r="AB16" i="6"/>
  <c r="AB13" i="6" s="1"/>
  <c r="K15" i="10" s="1"/>
  <c r="W211" i="14"/>
  <c r="Y132" i="14"/>
  <c r="Y134" i="14" s="1"/>
  <c r="Y213" i="14"/>
  <c r="W77" i="14"/>
  <c r="Z188" i="14"/>
  <c r="Z194" i="14" s="1"/>
  <c r="W199" i="14"/>
  <c r="Y70" i="14"/>
  <c r="Y75" i="14" s="1"/>
  <c r="Y83" i="14"/>
  <c r="X75" i="14"/>
  <c r="X199" i="14" s="1"/>
  <c r="X134" i="14"/>
  <c r="Y196" i="14"/>
  <c r="Y229" i="14" s="1"/>
  <c r="V216" i="14"/>
  <c r="X212" i="14"/>
  <c r="Y200" i="14"/>
  <c r="Y206" i="14"/>
  <c r="Y212" i="14" s="1"/>
  <c r="Z224" i="14"/>
  <c r="Z192" i="14"/>
  <c r="Z227" i="14" s="1"/>
  <c r="X214" i="14"/>
  <c r="X228" i="14"/>
  <c r="W218" i="14"/>
  <c r="Y127" i="14"/>
  <c r="V139" i="14"/>
  <c r="W221" i="14"/>
  <c r="U223" i="14"/>
  <c r="U220" i="14"/>
  <c r="Y24" i="14"/>
  <c r="Y78" i="14"/>
  <c r="Y80" i="14" s="1"/>
  <c r="X24" i="14"/>
  <c r="X215" i="14"/>
  <c r="Y218" i="14"/>
  <c r="Y221" i="14"/>
  <c r="Y230" i="14" s="1"/>
  <c r="Z198" i="14"/>
  <c r="Z19" i="14"/>
  <c r="Z21" i="14" s="1"/>
  <c r="Z204" i="14"/>
  <c r="Z210" i="14" s="1"/>
  <c r="Z215" i="14" s="1"/>
  <c r="AA71" i="14"/>
  <c r="U85" i="14"/>
  <c r="Z207" i="14"/>
  <c r="Z130" i="14"/>
  <c r="Z201" i="14"/>
  <c r="Z72" i="14"/>
  <c r="Z73" i="14" s="1"/>
  <c r="Z69" i="14"/>
  <c r="Z76" i="14"/>
  <c r="AA189" i="14"/>
  <c r="AA128" i="14"/>
  <c r="AA125" i="14"/>
  <c r="X135" i="14"/>
  <c r="AC185" i="14"/>
  <c r="AC67" i="14"/>
  <c r="AC16" i="14"/>
  <c r="Y121" i="14"/>
  <c r="Z121" i="14" s="1"/>
  <c r="AA121" i="14" s="1"/>
  <c r="AB121" i="14" s="1"/>
  <c r="AC121" i="14" s="1"/>
  <c r="U231" i="14"/>
  <c r="T231" i="14"/>
  <c r="AB67" i="14"/>
  <c r="AB16" i="14"/>
  <c r="AB185" i="14"/>
  <c r="W138" i="14"/>
  <c r="AA197" i="14"/>
  <c r="AA18" i="14"/>
  <c r="AA20" i="14" s="1"/>
  <c r="AA203" i="14"/>
  <c r="AA209" i="14" s="1"/>
  <c r="K8" i="10"/>
  <c r="Y131" i="14"/>
  <c r="Y135" i="14" s="1"/>
  <c r="Y208" i="14"/>
  <c r="Y214" i="14" s="1"/>
  <c r="Y202" i="14"/>
  <c r="K13" i="10"/>
  <c r="K16" i="10"/>
  <c r="K17" i="10" s="1"/>
  <c r="K7" i="10"/>
  <c r="V25" i="14"/>
  <c r="AA124" i="14"/>
  <c r="AA186" i="14"/>
  <c r="AA192" i="14" s="1"/>
  <c r="AA227" i="14" s="1"/>
  <c r="AA68" i="14"/>
  <c r="AA17" i="14"/>
  <c r="V223" i="14"/>
  <c r="V220" i="14"/>
  <c r="Z126" i="14"/>
  <c r="Z129" i="14"/>
  <c r="Z190" i="14"/>
  <c r="Z132" i="14" l="1"/>
  <c r="Z134" i="14" s="1"/>
  <c r="Z213" i="14"/>
  <c r="W79" i="14"/>
  <c r="W84" i="14" s="1"/>
  <c r="V222" i="14"/>
  <c r="V231" i="14" s="1"/>
  <c r="Y187" i="14"/>
  <c r="AA188" i="14"/>
  <c r="AA194" i="14" s="1"/>
  <c r="X205" i="14"/>
  <c r="X77" i="14"/>
  <c r="X79" i="14" s="1"/>
  <c r="X84" i="14" s="1"/>
  <c r="Z70" i="14"/>
  <c r="Z75" i="14" s="1"/>
  <c r="Z83" i="14"/>
  <c r="V219" i="14"/>
  <c r="Z196" i="14"/>
  <c r="Z229" i="14" s="1"/>
  <c r="Z226" i="14"/>
  <c r="Z200" i="14"/>
  <c r="Z206" i="14"/>
  <c r="Z212" i="14" s="1"/>
  <c r="X138" i="14"/>
  <c r="W230" i="14"/>
  <c r="Z24" i="14"/>
  <c r="V85" i="14"/>
  <c r="W217" i="14"/>
  <c r="U232" i="14"/>
  <c r="Z127" i="14"/>
  <c r="Z78" i="14"/>
  <c r="Z80" i="14" s="1"/>
  <c r="Y217" i="14"/>
  <c r="Z218" i="14"/>
  <c r="Z221" i="14"/>
  <c r="Z230" i="14" s="1"/>
  <c r="Z202" i="14"/>
  <c r="Z131" i="14"/>
  <c r="Z135" i="14" s="1"/>
  <c r="Z208" i="14"/>
  <c r="Z214" i="14" s="1"/>
  <c r="AB189" i="14"/>
  <c r="AB125" i="14"/>
  <c r="AB128" i="14"/>
  <c r="AA76" i="14"/>
  <c r="AA69" i="14"/>
  <c r="AA72" i="14"/>
  <c r="AA73" i="14" s="1"/>
  <c r="W25" i="14"/>
  <c r="AB186" i="14"/>
  <c r="AB192" i="14" s="1"/>
  <c r="AB227" i="14" s="1"/>
  <c r="AB68" i="14"/>
  <c r="AB188" i="14" s="1"/>
  <c r="AB17" i="14"/>
  <c r="AB124" i="14"/>
  <c r="AC18" i="14"/>
  <c r="AC20" i="14" s="1"/>
  <c r="AC197" i="14"/>
  <c r="AC203" i="14"/>
  <c r="AC209" i="14" s="1"/>
  <c r="AA201" i="14"/>
  <c r="AA130" i="14"/>
  <c r="AA207" i="14"/>
  <c r="Y138" i="14"/>
  <c r="Y199" i="14"/>
  <c r="Y205" i="14"/>
  <c r="Y77" i="14"/>
  <c r="Y79" i="14" s="1"/>
  <c r="Y84" i="14" s="1"/>
  <c r="W139" i="14"/>
  <c r="AC189" i="14"/>
  <c r="AC125" i="14"/>
  <c r="AC128" i="14"/>
  <c r="AA224" i="14"/>
  <c r="V232" i="14"/>
  <c r="K12" i="10"/>
  <c r="K14" i="10"/>
  <c r="AB203" i="14"/>
  <c r="AB209" i="14" s="1"/>
  <c r="AB18" i="14"/>
  <c r="AB20" i="14" s="1"/>
  <c r="AB197" i="14"/>
  <c r="X218" i="14"/>
  <c r="X221" i="14"/>
  <c r="AA129" i="14"/>
  <c r="AA190" i="14"/>
  <c r="AA126" i="14"/>
  <c r="AC71" i="14"/>
  <c r="AC17" i="14"/>
  <c r="AC186" i="14"/>
  <c r="AC68" i="14"/>
  <c r="AC188" i="14" s="1"/>
  <c r="AC124" i="14"/>
  <c r="AB71" i="14"/>
  <c r="W216" i="14"/>
  <c r="AA204" i="14"/>
  <c r="AA210" i="14" s="1"/>
  <c r="AA215" i="14" s="1"/>
  <c r="AA198" i="14"/>
  <c r="AA19" i="14"/>
  <c r="AA21" i="14" s="1"/>
  <c r="Y228" i="14" l="1"/>
  <c r="Y225" i="14"/>
  <c r="Y211" i="14"/>
  <c r="Y216" i="14" s="1"/>
  <c r="Y219" i="14" s="1"/>
  <c r="AA132" i="14"/>
  <c r="AA134" i="14" s="1"/>
  <c r="AA213" i="14"/>
  <c r="X211" i="14"/>
  <c r="X216" i="14" s="1"/>
  <c r="X139" i="14"/>
  <c r="Y139" i="14" s="1"/>
  <c r="Z187" i="14"/>
  <c r="Z225" i="14" s="1"/>
  <c r="AA70" i="14"/>
  <c r="AA187" i="14" s="1"/>
  <c r="AA225" i="14" s="1"/>
  <c r="AA83" i="14"/>
  <c r="AA200" i="14"/>
  <c r="AA206" i="14"/>
  <c r="AA212" i="14" s="1"/>
  <c r="AA196" i="14"/>
  <c r="AA229" i="14" s="1"/>
  <c r="AA226" i="14"/>
  <c r="AC194" i="14"/>
  <c r="AB194" i="14"/>
  <c r="AC224" i="14"/>
  <c r="AC192" i="14"/>
  <c r="AC227" i="14" s="1"/>
  <c r="AD227" i="14" s="1"/>
  <c r="W85" i="14"/>
  <c r="AA127" i="14"/>
  <c r="Z138" i="14"/>
  <c r="Y220" i="14"/>
  <c r="Y223" i="14"/>
  <c r="Y232" i="14" s="1"/>
  <c r="W220" i="14"/>
  <c r="W223" i="14"/>
  <c r="X217" i="14"/>
  <c r="AB224" i="14"/>
  <c r="Z217" i="14"/>
  <c r="AA24" i="14"/>
  <c r="AA78" i="14"/>
  <c r="AA80" i="14" s="1"/>
  <c r="AA221" i="14"/>
  <c r="AA230" i="14" s="1"/>
  <c r="AA218" i="14"/>
  <c r="AB204" i="14"/>
  <c r="AB210" i="14" s="1"/>
  <c r="AB215" i="14" s="1"/>
  <c r="AB198" i="14"/>
  <c r="AB19" i="14"/>
  <c r="AB21" i="14" s="1"/>
  <c r="AC72" i="14"/>
  <c r="AC73" i="14" s="1"/>
  <c r="AC69" i="14"/>
  <c r="AC76" i="14"/>
  <c r="AA208" i="14"/>
  <c r="AA214" i="14" s="1"/>
  <c r="AA131" i="14"/>
  <c r="AA135" i="14" s="1"/>
  <c r="AA202" i="14"/>
  <c r="AB190" i="14"/>
  <c r="AB129" i="14"/>
  <c r="AB126" i="14"/>
  <c r="AB76" i="14"/>
  <c r="AB69" i="14"/>
  <c r="AB72" i="14"/>
  <c r="AB73" i="14" s="1"/>
  <c r="W219" i="14"/>
  <c r="W222" i="14"/>
  <c r="X230" i="14"/>
  <c r="AC198" i="14"/>
  <c r="AC204" i="14"/>
  <c r="AC210" i="14" s="1"/>
  <c r="AC19" i="14"/>
  <c r="AC21" i="14" s="1"/>
  <c r="AC201" i="14"/>
  <c r="AC207" i="14"/>
  <c r="AC130" i="14"/>
  <c r="AB207" i="14"/>
  <c r="AB130" i="14"/>
  <c r="AB201" i="14"/>
  <c r="Z205" i="14"/>
  <c r="Z199" i="14"/>
  <c r="Z77" i="14"/>
  <c r="Z79" i="14" s="1"/>
  <c r="Z84" i="14" s="1"/>
  <c r="AD20" i="14"/>
  <c r="AC190" i="14"/>
  <c r="AC129" i="14"/>
  <c r="AC126" i="14"/>
  <c r="AD209" i="14"/>
  <c r="X25" i="14"/>
  <c r="Y222" i="14" l="1"/>
  <c r="Y231" i="14" s="1"/>
  <c r="AB132" i="14"/>
  <c r="AB134" i="14" s="1"/>
  <c r="AB213" i="14"/>
  <c r="Z228" i="14"/>
  <c r="AC132" i="14"/>
  <c r="AC134" i="14" s="1"/>
  <c r="AC213" i="14"/>
  <c r="AA75" i="14"/>
  <c r="AA205" i="14" s="1"/>
  <c r="AA211" i="14" s="1"/>
  <c r="AA216" i="14" s="1"/>
  <c r="AD224" i="14"/>
  <c r="Z211" i="14"/>
  <c r="Z216" i="14" s="1"/>
  <c r="Z219" i="14" s="1"/>
  <c r="AB70" i="14"/>
  <c r="AB75" i="14" s="1"/>
  <c r="AB83" i="14"/>
  <c r="AC70" i="14"/>
  <c r="AC187" i="14" s="1"/>
  <c r="AC225" i="14" s="1"/>
  <c r="AC83" i="14"/>
  <c r="Z139" i="14"/>
  <c r="AC196" i="14"/>
  <c r="AC229" i="14" s="1"/>
  <c r="AC226" i="14"/>
  <c r="AB206" i="14"/>
  <c r="AB212" i="14" s="1"/>
  <c r="AB200" i="14"/>
  <c r="AB196" i="14"/>
  <c r="AB229" i="14" s="1"/>
  <c r="AC206" i="14"/>
  <c r="AC212" i="14" s="1"/>
  <c r="AC200" i="14"/>
  <c r="AB226" i="14"/>
  <c r="AA228" i="14"/>
  <c r="Z223" i="14"/>
  <c r="Z232" i="14" s="1"/>
  <c r="Z220" i="14"/>
  <c r="AB78" i="14"/>
  <c r="AB80" i="14" s="1"/>
  <c r="AB24" i="14"/>
  <c r="X220" i="14"/>
  <c r="X223" i="14"/>
  <c r="AC24" i="14"/>
  <c r="AC78" i="14"/>
  <c r="AC80" i="14" s="1"/>
  <c r="W232" i="14"/>
  <c r="AA217" i="14"/>
  <c r="AA223" i="14" s="1"/>
  <c r="AA232" i="14" s="1"/>
  <c r="AD210" i="14"/>
  <c r="AC215" i="14"/>
  <c r="AC221" i="14" s="1"/>
  <c r="X219" i="14"/>
  <c r="X222" i="14"/>
  <c r="AA138" i="14"/>
  <c r="W231" i="14"/>
  <c r="AB208" i="14"/>
  <c r="AB214" i="14" s="1"/>
  <c r="AB131" i="14"/>
  <c r="AB135" i="14" s="1"/>
  <c r="AB202" i="14"/>
  <c r="AB127" i="14"/>
  <c r="AD21" i="14"/>
  <c r="Y25" i="14"/>
  <c r="Z25" i="14" s="1"/>
  <c r="AA25" i="14" s="1"/>
  <c r="AB218" i="14"/>
  <c r="AB221" i="14"/>
  <c r="AB230" i="14" s="1"/>
  <c r="AC202" i="14"/>
  <c r="AC131" i="14"/>
  <c r="AC135" i="14" s="1"/>
  <c r="AC208" i="14"/>
  <c r="AC214" i="14" s="1"/>
  <c r="X85" i="14"/>
  <c r="Y85" i="14" s="1"/>
  <c r="AC127" i="14"/>
  <c r="AC75" i="14" l="1"/>
  <c r="AC205" i="14" s="1"/>
  <c r="AC211" i="14" s="1"/>
  <c r="AA199" i="14"/>
  <c r="AA77" i="14"/>
  <c r="AA79" i="14" s="1"/>
  <c r="AA84" i="14" s="1"/>
  <c r="AD229" i="14"/>
  <c r="Z222" i="14"/>
  <c r="Z231" i="14" s="1"/>
  <c r="AD83" i="14"/>
  <c r="AB187" i="14"/>
  <c r="AB225" i="14" s="1"/>
  <c r="AD226" i="14"/>
  <c r="AD80" i="14"/>
  <c r="AA139" i="14"/>
  <c r="AD24" i="14"/>
  <c r="AD25" i="14" s="1"/>
  <c r="AD212" i="14"/>
  <c r="AC228" i="14"/>
  <c r="AA220" i="14"/>
  <c r="AB25" i="14"/>
  <c r="AC25" i="14" s="1"/>
  <c r="AC218" i="14"/>
  <c r="AD218" i="14" s="1"/>
  <c r="AD135" i="14"/>
  <c r="X232" i="14"/>
  <c r="AD215" i="14"/>
  <c r="AD213" i="14"/>
  <c r="AD214" i="14"/>
  <c r="AC217" i="14"/>
  <c r="AA219" i="14"/>
  <c r="AA222" i="14"/>
  <c r="AA231" i="14" s="1"/>
  <c r="AB138" i="14"/>
  <c r="AC138" i="14"/>
  <c r="AD134" i="14"/>
  <c r="AB77" i="14"/>
  <c r="AB79" i="14" s="1"/>
  <c r="AB84" i="14" s="1"/>
  <c r="AB199" i="14"/>
  <c r="AB205" i="14"/>
  <c r="AC230" i="14"/>
  <c r="AD230" i="14" s="1"/>
  <c r="AD221" i="14"/>
  <c r="X231" i="14"/>
  <c r="Z85" i="14"/>
  <c r="AC199" i="14" l="1"/>
  <c r="AC77" i="14"/>
  <c r="AC79" i="14" s="1"/>
  <c r="AC84" i="14" s="1"/>
  <c r="AD84" i="14" s="1"/>
  <c r="AD85" i="14" s="1"/>
  <c r="AB211" i="14"/>
  <c r="AB216" i="14" s="1"/>
  <c r="AB222" i="14" s="1"/>
  <c r="AB139" i="14"/>
  <c r="AC139" i="14" s="1"/>
  <c r="AB228" i="14"/>
  <c r="AD228" i="14" s="1"/>
  <c r="AD138" i="14"/>
  <c r="AD139" i="14" s="1"/>
  <c r="AA85" i="14"/>
  <c r="AB217" i="14"/>
  <c r="AD217" i="14" s="1"/>
  <c r="AC216" i="14"/>
  <c r="AD225" i="14"/>
  <c r="AD79" i="14"/>
  <c r="AC220" i="14"/>
  <c r="AC223" i="14"/>
  <c r="AB219" i="14" l="1"/>
  <c r="AD211" i="14"/>
  <c r="AB231" i="14"/>
  <c r="AB85" i="14"/>
  <c r="AC85" i="14" s="1"/>
  <c r="AB220" i="14"/>
  <c r="AD220" i="14" s="1"/>
  <c r="AB223" i="14"/>
  <c r="AB232" i="14" s="1"/>
  <c r="AC232" i="14"/>
  <c r="AC219" i="14"/>
  <c r="AC222" i="14"/>
  <c r="AD222" i="14" s="1"/>
  <c r="AD216" i="14"/>
  <c r="AD219" i="14" l="1"/>
  <c r="AD223" i="14"/>
  <c r="AD232" i="14"/>
  <c r="AC231" i="14"/>
  <c r="AD231" i="14" s="1"/>
  <c r="H12" i="15" l="1"/>
  <c r="F11" i="15"/>
  <c r="H15" i="15" l="1"/>
  <c r="J14" i="15"/>
  <c r="H14" i="15"/>
  <c r="J15" i="15"/>
</calcChain>
</file>

<file path=xl/sharedStrings.xml><?xml version="1.0" encoding="utf-8"?>
<sst xmlns="http://schemas.openxmlformats.org/spreadsheetml/2006/main" count="676" uniqueCount="336">
  <si>
    <t>項目</t>
  </si>
  <si>
    <t>値</t>
  </si>
  <si>
    <t>単位</t>
  </si>
  <si>
    <t>行政面積</t>
  </si>
  <si>
    <t>km2</t>
  </si>
  <si>
    <t>行政人口</t>
  </si>
  <si>
    <t>人</t>
  </si>
  <si>
    <t>下水道整備率</t>
  </si>
  <si>
    <t>％</t>
  </si>
  <si>
    <t>汚水処理人口</t>
  </si>
  <si>
    <t>汚水処理普及率（人口普及率）</t>
  </si>
  <si>
    <t>年度</t>
  </si>
  <si>
    <t>1（現在）</t>
  </si>
  <si>
    <t>2</t>
  </si>
  <si>
    <t>3</t>
  </si>
  <si>
    <t>4</t>
  </si>
  <si>
    <t>5</t>
  </si>
  <si>
    <t>6</t>
  </si>
  <si>
    <t>7</t>
  </si>
  <si>
    <t>8</t>
  </si>
  <si>
    <t>9</t>
  </si>
  <si>
    <t>10</t>
  </si>
  <si>
    <t>11</t>
  </si>
  <si>
    <t>12</t>
  </si>
  <si>
    <t>13</t>
  </si>
  <si>
    <t>14</t>
  </si>
  <si>
    <t>15</t>
  </si>
  <si>
    <t>16</t>
  </si>
  <si>
    <t>17</t>
  </si>
  <si>
    <t>18</t>
  </si>
  <si>
    <t>19</t>
  </si>
  <si>
    <t>20</t>
  </si>
  <si>
    <t>21</t>
  </si>
  <si>
    <t>22</t>
  </si>
  <si>
    <t>23</t>
  </si>
  <si>
    <t>24</t>
  </si>
  <si>
    <t>25</t>
  </si>
  <si>
    <t>現在</t>
  </si>
  <si>
    <t>割合</t>
  </si>
  <si>
    <t>下水道計画区域内人口</t>
  </si>
  <si>
    <t>A処理区</t>
  </si>
  <si>
    <t>し尿・浄化槽人口</t>
  </si>
  <si>
    <t>合併浄化槽人口</t>
  </si>
  <si>
    <t>単独浄化槽人口</t>
  </si>
  <si>
    <t>し尿汲み取り人口</t>
  </si>
  <si>
    <t>単位：L/人・日</t>
  </si>
  <si>
    <t>区分</t>
  </si>
  <si>
    <t>原単位</t>
  </si>
  <si>
    <t>備考</t>
  </si>
  <si>
    <t>日平均</t>
  </si>
  <si>
    <t>日最大</t>
  </si>
  <si>
    <t>汚水量</t>
  </si>
  <si>
    <t>A処理区（下水道）</t>
  </si>
  <si>
    <t>全体計画値（実績値）</t>
  </si>
  <si>
    <t>〃</t>
  </si>
  <si>
    <t>収集量</t>
  </si>
  <si>
    <t>合併浄化槽</t>
  </si>
  <si>
    <t>-</t>
  </si>
  <si>
    <t>実績値</t>
  </si>
  <si>
    <t>単独浄化槽</t>
  </si>
  <si>
    <t>し尿汲み取り</t>
  </si>
  <si>
    <t>単位：mg/L</t>
  </si>
  <si>
    <t>濃度</t>
  </si>
  <si>
    <t>し尿</t>
  </si>
  <si>
    <t>ＢＯＤ</t>
  </si>
  <si>
    <t>ＣＯＤ</t>
  </si>
  <si>
    <t>ＳＳ</t>
  </si>
  <si>
    <t>Ｔ-Ｎ</t>
  </si>
  <si>
    <t>NH4-N</t>
  </si>
  <si>
    <t>Ｔ-Ｐ</t>
  </si>
  <si>
    <t>※浄化槽は「合併浄化槽」と「単独浄化槽」</t>
  </si>
  <si>
    <t>下水</t>
  </si>
  <si>
    <t>処理形態</t>
  </si>
  <si>
    <t>流入水量
収集量</t>
  </si>
  <si>
    <t>A処理区（下水道）（m3/日）</t>
  </si>
  <si>
    <t>し尿・浄化槽収集量（kL/日）</t>
  </si>
  <si>
    <t>合併浄化槽（kL/日）</t>
  </si>
  <si>
    <t>単独浄化槽（kL/日）</t>
  </si>
  <si>
    <t>し尿汲み取り（kL/日）</t>
  </si>
  <si>
    <t>BOD汚濁
負荷量</t>
  </si>
  <si>
    <t>A処理区（下水道）（kg/日）</t>
  </si>
  <si>
    <t>し尿・浄化槽（kg/日）</t>
  </si>
  <si>
    <t>合併浄化槽（kg/日）</t>
  </si>
  <si>
    <t>単独浄化槽（kg/日）</t>
  </si>
  <si>
    <t>し尿汲み取り（kg/日）</t>
  </si>
  <si>
    <t>処理場</t>
  </si>
  <si>
    <t>処理方式</t>
  </si>
  <si>
    <t>日最大処理能力</t>
  </si>
  <si>
    <t>現在の処理水量</t>
  </si>
  <si>
    <t>稼働率</t>
  </si>
  <si>
    <r>
      <rPr>
        <sz val="11"/>
        <color theme="1"/>
        <rFont val="ＭＳ Ｐゴシック"/>
        <family val="3"/>
        <charset val="128"/>
      </rPr>
      <t>m</t>
    </r>
    <r>
      <rPr>
        <vertAlign val="superscript"/>
        <sz val="11"/>
        <color theme="1"/>
        <rFont val="ＭＳ Ｐゴシック"/>
        <family val="3"/>
        <charset val="128"/>
      </rPr>
      <t>3</t>
    </r>
    <r>
      <rPr>
        <sz val="11"/>
        <color theme="1"/>
        <rFont val="ＭＳ Ｐゴシック"/>
        <family val="3"/>
        <charset val="128"/>
      </rPr>
      <t>/日［kL/日］</t>
    </r>
  </si>
  <si>
    <t>(a)</t>
  </si>
  <si>
    <t>(b)</t>
  </si>
  <si>
    <t>(b) / (a)</t>
  </si>
  <si>
    <t>A下水処理場</t>
  </si>
  <si>
    <t>標準法</t>
  </si>
  <si>
    <t>B下水処理場</t>
  </si>
  <si>
    <t>農業集落排水施設</t>
  </si>
  <si>
    <t>し尿処理施設</t>
  </si>
  <si>
    <t>高負荷膜</t>
  </si>
  <si>
    <t>注記：［　］内はし尿処理施設の場合の単位</t>
  </si>
  <si>
    <t>維持管理費</t>
  </si>
  <si>
    <t>消費電力量
［kWh/年］
※１</t>
  </si>
  <si>
    <t>合計(a)
［千円/年］</t>
  </si>
  <si>
    <t>固定費(b)
［千円/年］</t>
  </si>
  <si>
    <t>電力費(c)
［千円/年］</t>
  </si>
  <si>
    <t>（うち、汚泥処理系）</t>
  </si>
  <si>
    <t>※２</t>
  </si>
  <si>
    <t>高負荷脱窒処理</t>
  </si>
  <si>
    <t>※１：電力費÷電力料単価（本シナリオ例では15円/kwh）</t>
  </si>
  <si>
    <t>※２：能力活用ケースにおいて、核となる処理施設における汚泥処理系の維持管理費を算出するために必要</t>
  </si>
  <si>
    <r>
      <rPr>
        <sz val="11"/>
        <color theme="1"/>
        <rFont val="ＭＳ Ｐゴシック"/>
        <family val="3"/>
        <charset val="128"/>
      </rPr>
      <t>単位：円/ｍ</t>
    </r>
    <r>
      <rPr>
        <vertAlign val="superscript"/>
        <sz val="11"/>
        <color theme="1"/>
        <rFont val="ＭＳ Ｐゴシック"/>
        <family val="3"/>
        <charset val="128"/>
      </rPr>
      <t>3</t>
    </r>
    <r>
      <rPr>
        <sz val="11"/>
        <color theme="1"/>
        <rFont val="ＭＳ Ｐゴシック"/>
        <family val="3"/>
        <charset val="128"/>
      </rPr>
      <t>［円/kL］</t>
    </r>
    <r>
      <rPr>
        <vertAlign val="superscript"/>
        <sz val="11"/>
        <color theme="1"/>
        <rFont val="ＭＳ Ｐゴシック"/>
        <family val="3"/>
        <charset val="128"/>
      </rPr>
      <t>　</t>
    </r>
    <r>
      <rPr>
        <sz val="11"/>
        <color theme="1"/>
        <rFont val="ＭＳ Ｐゴシック"/>
        <family val="3"/>
        <charset val="128"/>
      </rPr>
      <t>※１</t>
    </r>
  </si>
  <si>
    <t>固定維持
管理費原単位</t>
  </si>
  <si>
    <t>消費電力量
原単位</t>
  </si>
  <si>
    <t>※１：維持管理費÷処理水量（汚泥処理系は汚泥量）</t>
  </si>
  <si>
    <t>　行政人口</t>
  </si>
  <si>
    <t>人口</t>
  </si>
  <si>
    <t>A処理区内人口（人）</t>
  </si>
  <si>
    <t>流入SS</t>
  </si>
  <si>
    <t>ｍｇ/Ｌ</t>
  </si>
  <si>
    <t>し尿・浄化槽人口（人）</t>
  </si>
  <si>
    <t>SS除去率</t>
  </si>
  <si>
    <t>SSあたり汚泥発生率</t>
  </si>
  <si>
    <t>処理水量</t>
  </si>
  <si>
    <r>
      <rPr>
        <sz val="11"/>
        <color theme="1"/>
        <rFont val="ＭＳ Ｐゴシック"/>
        <family val="3"/>
        <charset val="128"/>
      </rPr>
      <t>A処理区（日平均）（m</t>
    </r>
    <r>
      <rPr>
        <vertAlign val="superscript"/>
        <sz val="11"/>
        <color theme="1"/>
        <rFont val="ＭＳ Ｐゴシック"/>
        <family val="3"/>
        <charset val="128"/>
      </rPr>
      <t>3</t>
    </r>
    <r>
      <rPr>
        <sz val="11"/>
        <color theme="1"/>
        <rFont val="ＭＳ Ｐゴシック"/>
        <family val="3"/>
        <charset val="128"/>
      </rPr>
      <t>/日）</t>
    </r>
  </si>
  <si>
    <r>
      <rPr>
        <sz val="11"/>
        <color theme="1"/>
        <rFont val="ＭＳ Ｐゴシック"/>
        <family val="3"/>
        <charset val="128"/>
      </rPr>
      <t>A処理区（日最大）（m</t>
    </r>
    <r>
      <rPr>
        <vertAlign val="superscript"/>
        <sz val="11"/>
        <color theme="1"/>
        <rFont val="ＭＳ Ｐゴシック"/>
        <family val="3"/>
        <charset val="128"/>
      </rPr>
      <t>3</t>
    </r>
    <r>
      <rPr>
        <sz val="11"/>
        <color theme="1"/>
        <rFont val="ＭＳ Ｐゴシック"/>
        <family val="3"/>
        <charset val="128"/>
      </rPr>
      <t>/日）</t>
    </r>
  </si>
  <si>
    <t>汚泥濃度</t>
  </si>
  <si>
    <t>し尿・浄化槽収集量（日最大）（kL/日）</t>
  </si>
  <si>
    <t>A下水処理場稼働率（％）</t>
  </si>
  <si>
    <t>し尿処理施設稼働率（％）</t>
  </si>
  <si>
    <t>し尿処理施設BOD負荷量（kg/日）</t>
  </si>
  <si>
    <t>濃度
（mg/L）</t>
  </si>
  <si>
    <t>収集量
（kL/日）</t>
  </si>
  <si>
    <t>汚濁負荷量
（kg/日）</t>
  </si>
  <si>
    <t>排除基準
（mg/L）</t>
  </si>
  <si>
    <t>必要希釈倍率
（倍）</t>
  </si>
  <si>
    <t>投入水量
（m3/日）</t>
  </si>
  <si>
    <t>BOD</t>
  </si>
  <si>
    <t>混合</t>
  </si>
  <si>
    <t>SS</t>
  </si>
  <si>
    <t>必要希釈倍率</t>
  </si>
  <si>
    <t>合計</t>
  </si>
  <si>
    <t>施設</t>
  </si>
  <si>
    <t>水処理維持管理原単位①
（更新前）</t>
  </si>
  <si>
    <t>水処理維持管理原単位②
（更新後）</t>
  </si>
  <si>
    <t>汚泥処理維持管理原単位①</t>
  </si>
  <si>
    <t>汚泥処理維持管理原単位②</t>
  </si>
  <si>
    <t>更新費</t>
  </si>
  <si>
    <t>MP建設</t>
  </si>
  <si>
    <t>MP維持管理費</t>
  </si>
  <si>
    <t>管きょ建設</t>
  </si>
  <si>
    <t>管きょ維持管理（円）</t>
  </si>
  <si>
    <t>維持管理係数</t>
  </si>
  <si>
    <t>基準</t>
  </si>
  <si>
    <t>汚泥
割合</t>
  </si>
  <si>
    <t>存続する水処理系の割合</t>
  </si>
  <si>
    <t>水処理更新費</t>
  </si>
  <si>
    <t>汚泥更新費</t>
  </si>
  <si>
    <t>脱臭更新費</t>
  </si>
  <si>
    <t>現状</t>
  </si>
  <si>
    <t>更新後1</t>
  </si>
  <si>
    <t>更新後2</t>
  </si>
  <si>
    <t>a</t>
  </si>
  <si>
    <t>b</t>
  </si>
  <si>
    <t>係数1</t>
  </si>
  <si>
    <t>係数2</t>
  </si>
  <si>
    <t>高負荷脱窒</t>
  </si>
  <si>
    <t>前処理新設</t>
  </si>
  <si>
    <t>前処理へ更新</t>
  </si>
  <si>
    <t>既存施設の更新</t>
  </si>
  <si>
    <t>①処理能力</t>
  </si>
  <si>
    <r>
      <rPr>
        <sz val="11"/>
        <color theme="1"/>
        <rFont val="ＭＳ Ｐゴシック"/>
        <family val="3"/>
        <charset val="128"/>
      </rPr>
      <t>m</t>
    </r>
    <r>
      <rPr>
        <vertAlign val="superscript"/>
        <sz val="11"/>
        <color theme="1"/>
        <rFont val="ＭＳ Ｐゴシック"/>
        <family val="3"/>
        <charset val="128"/>
      </rPr>
      <t>3</t>
    </r>
    <r>
      <rPr>
        <sz val="11"/>
        <color theme="1"/>
        <rFont val="ＭＳ Ｐゴシック"/>
        <family val="3"/>
        <charset val="128"/>
      </rPr>
      <t>/日
kL/日</t>
    </r>
  </si>
  <si>
    <t>②処理水量（日平均）</t>
  </si>
  <si>
    <t>③稼働率</t>
  </si>
  <si>
    <t>④維持管理係数の比</t>
  </si>
  <si>
    <t>⑤維持管理費</t>
  </si>
  <si>
    <t>百万円/年</t>
  </si>
  <si>
    <t>⑥機電更新費</t>
  </si>
  <si>
    <t>⑦合計事業費</t>
  </si>
  <si>
    <t>⑧累計事業費</t>
  </si>
  <si>
    <t>：A下水処理場は更新年次の「処理水量（日平均）」／0.7（変動率）の500区切りで、し尿処理施設は「処理水量（日平均）」／0.87で設定（A下水処理場は12年目、し尿処理施設は6年目に更新）</t>
  </si>
  <si>
    <t>25年間の年価↑</t>
  </si>
  <si>
    <t>：更新年次の「流入水量」／0.7（変動率）の500区切りで設定（A下水処理場は平成39年度、B下水処理場は平成33年度に更新）</t>
  </si>
  <si>
    <t>：将来フレームより</t>
  </si>
  <si>
    <t>：「②処理水量（日平均）」/「①処理能力」</t>
  </si>
  <si>
    <t>：「当該年次の維持管理係数」/「基準年の維持管理係数」</t>
  </si>
  <si>
    <r>
      <rPr>
        <sz val="11"/>
        <color theme="1"/>
        <rFont val="ＭＳ Ｐゴシック"/>
        <family val="3"/>
        <charset val="128"/>
      </rPr>
      <t>：「②処理水量（日平均）」×365日×「④維持管理係数の比」×「維持管理原単位」（維持管理原単位は更新前はA処理場が75円/ｍ</t>
    </r>
    <r>
      <rPr>
        <vertAlign val="superscript"/>
        <sz val="11"/>
        <color theme="1"/>
        <rFont val="ＭＳ Ｐゴシック"/>
        <family val="3"/>
        <charset val="128"/>
      </rPr>
      <t>3</t>
    </r>
    <r>
      <rPr>
        <sz val="11"/>
        <color theme="1"/>
        <rFont val="ＭＳ Ｐゴシック"/>
        <family val="3"/>
        <charset val="128"/>
      </rPr>
      <t>、し尿処理施設が18,000円/kL、更新後はA処理場が48円/ｍ</t>
    </r>
    <r>
      <rPr>
        <vertAlign val="superscript"/>
        <sz val="11"/>
        <color theme="1"/>
        <rFont val="ＭＳ Ｐゴシック"/>
        <family val="3"/>
        <charset val="128"/>
      </rPr>
      <t>3</t>
    </r>
    <r>
      <rPr>
        <sz val="11"/>
        <color theme="1"/>
        <rFont val="ＭＳ Ｐゴシック"/>
        <family val="3"/>
        <charset val="128"/>
      </rPr>
      <t>、し尿処理施設が16,314円/ｋL）</t>
    </r>
  </si>
  <si>
    <t>：「⑤維持管理費」+「⑥機電更新費」</t>
  </si>
  <si>
    <t>：「前年度までの合計」+「当該年度の合計」</t>
  </si>
  <si>
    <t>処理施設の再編成</t>
  </si>
  <si>
    <t>し尿投入の際の希釈倍率</t>
  </si>
  <si>
    <r>
      <t>m</t>
    </r>
    <r>
      <rPr>
        <vertAlign val="superscript"/>
        <sz val="11"/>
        <color theme="1"/>
        <rFont val="ＭＳ Ｐゴシック"/>
        <family val="3"/>
        <charset val="128"/>
      </rPr>
      <t>3</t>
    </r>
    <r>
      <rPr>
        <sz val="11"/>
        <color theme="1"/>
        <rFont val="ＭＳ Ｐゴシック"/>
        <family val="3"/>
        <charset val="128"/>
      </rPr>
      <t>/日
kL/日</t>
    </r>
  </si>
  <si>
    <t>A下水処理場に接続</t>
  </si>
  <si>
    <t>前処理施設のみ</t>
  </si>
  <si>
    <t>A下水処理場
（統合前）</t>
  </si>
  <si>
    <r>
      <t xml:space="preserve">し尿処理施設
</t>
    </r>
    <r>
      <rPr>
        <sz val="9"/>
        <color theme="4" tint="-0.249977111117893"/>
        <rFont val="ＭＳ Ｐゴシック"/>
        <family val="3"/>
        <charset val="128"/>
      </rPr>
      <t>統合後は前処理施設のみ</t>
    </r>
  </si>
  <si>
    <t>〃希釈後水量</t>
  </si>
  <si>
    <t>A下水処理場
（統合後）</t>
  </si>
  <si>
    <t>事業実施時
A下水処理場</t>
  </si>
  <si>
    <t>m3/日
（日最大）</t>
  </si>
  <si>
    <t>②-2計画人口</t>
  </si>
  <si>
    <t>⑦接続事業費</t>
  </si>
  <si>
    <t>前処理施設新設</t>
  </si>
  <si>
    <t>⑧合計事業費</t>
  </si>
  <si>
    <t>⑨累計事業費</t>
  </si>
  <si>
    <t>：：A下水処理場は更新年次の「処理水量（日平均）」／0.7（変動率）の500区切りで、し尿処理施設は「処理水量（日平均）」／0.87で設定（A下水処理場は12年目、し尿処理施設は6年目に既存施設を廃止し、前処理施設を新設）</t>
  </si>
  <si>
    <r>
      <t>：「②処理水量（日平均）」×365日×「④維持管理係数の比」×「維持管理原単位」（維持管理原単位は更新前のA処理場が75円/ｍ</t>
    </r>
    <r>
      <rPr>
        <vertAlign val="superscript"/>
        <sz val="11"/>
        <color theme="1"/>
        <rFont val="ＭＳ Ｐゴシック"/>
        <family val="3"/>
        <charset val="128"/>
      </rPr>
      <t>3</t>
    </r>
    <r>
      <rPr>
        <sz val="11"/>
        <color theme="1"/>
        <rFont val="ＭＳ Ｐゴシック"/>
        <family val="3"/>
        <charset val="128"/>
      </rPr>
      <t>、統合前のし尿処理施設が18,000円/kL、更新後のA処理場が47円/ｍ</t>
    </r>
    <r>
      <rPr>
        <vertAlign val="superscript"/>
        <sz val="11"/>
        <color theme="1"/>
        <rFont val="ＭＳ Ｐゴシック"/>
        <family val="3"/>
        <charset val="128"/>
      </rPr>
      <t>3</t>
    </r>
    <r>
      <rPr>
        <sz val="11"/>
        <color theme="1"/>
        <rFont val="ＭＳ Ｐゴシック"/>
        <family val="3"/>
        <charset val="128"/>
      </rPr>
      <t>、新設の前処理施設が2,494円/ｋL）</t>
    </r>
  </si>
  <si>
    <t>既存施設の能力活用</t>
  </si>
  <si>
    <t>A下水処理場
（汚泥処理）</t>
  </si>
  <si>
    <t>し尿処理施設
更新後は
前処理施設</t>
  </si>
  <si>
    <t>②-1処理水量</t>
  </si>
  <si>
    <t>m3/日
kL/日
（日平均）</t>
  </si>
  <si>
    <t>②-2発生汚泥量
　　　（汚泥処理量）</t>
  </si>
  <si>
    <t>A下水処理場
（し尿受入れ前）</t>
  </si>
  <si>
    <t>A下水処理場
（し尿受入れ後）</t>
  </si>
  <si>
    <t>⑤-1汚泥処理系
増加維持管理費</t>
  </si>
  <si>
    <t>汚泥処理費増</t>
  </si>
  <si>
    <t>汚泥輸送費</t>
  </si>
  <si>
    <t>⑤-2維持管理費</t>
  </si>
  <si>
    <t>②-2発生汚泥量</t>
  </si>
  <si>
    <t>：実績値を基に水量比で減少すると想定して設定。流入水質180mg/ℓ、SS除去率95％、SS当たり汚泥転換率100％（標準法）と75％（OD法）、汚泥濃度1％</t>
  </si>
  <si>
    <t>⑤-1増加維持管理費</t>
  </si>
  <si>
    <t>：B下水処理場の「②-2汚泥量」×「A下水処理場の汚泥処理系維持管理原単位」」　汚泥輸送費は実績値より10百万円/年を見込む</t>
  </si>
  <si>
    <t>：「②処理水量（日平均）」×365日×「④維持管理係数の比」×「維持管理原単位」+「⑤-1増加維持管理費」（維持管理原単位はA処理場が75円/ｍ3、B処理場が85円/m3）　</t>
  </si>
  <si>
    <t>　ただし、B処理場の更新後維持管理費は汚泥処理系を除いたものであるため0.49を掛け合わせる</t>
  </si>
  <si>
    <t>：別表参照</t>
  </si>
  <si>
    <t>環境面</t>
  </si>
  <si>
    <t>電力係数</t>
  </si>
  <si>
    <t>実績値
消費電力量kw/年</t>
  </si>
  <si>
    <t>単位消費電力量ｋｗ/m3</t>
  </si>
  <si>
    <t>CH4</t>
  </si>
  <si>
    <t>NO2</t>
  </si>
  <si>
    <r>
      <rPr>
        <sz val="11"/>
        <color theme="1"/>
        <rFont val="ＭＳ Ｐゴシック"/>
        <family val="3"/>
        <charset val="128"/>
      </rPr>
      <t>処理水量（日平均）
[m</t>
    </r>
    <r>
      <rPr>
        <vertAlign val="superscript"/>
        <sz val="11"/>
        <color theme="1"/>
        <rFont val="ＭＳ Ｐゴシック"/>
        <family val="3"/>
        <charset val="128"/>
      </rPr>
      <t>3</t>
    </r>
    <r>
      <rPr>
        <sz val="11"/>
        <color theme="1"/>
        <rFont val="ＭＳ Ｐゴシック"/>
        <family val="3"/>
        <charset val="128"/>
      </rPr>
      <t>/日］</t>
    </r>
  </si>
  <si>
    <t>既存施設
の更新</t>
  </si>
  <si>
    <t>A処理場</t>
  </si>
  <si>
    <t>処理施設
の再編成</t>
  </si>
  <si>
    <t>既存施設
の能力活用</t>
  </si>
  <si>
    <t>電力係数の比</t>
  </si>
  <si>
    <t>消費電力量［千kWh］</t>
  </si>
  <si>
    <t>消費エネルギー量
［千MJ］</t>
  </si>
  <si>
    <r>
      <rPr>
        <sz val="11"/>
        <color theme="1"/>
        <rFont val="ＭＳ Ｐゴシック"/>
        <family val="3"/>
        <charset val="128"/>
      </rPr>
      <t>GHG排出量［t-CO</t>
    </r>
    <r>
      <rPr>
        <vertAlign val="subscript"/>
        <sz val="11"/>
        <color theme="1"/>
        <rFont val="ＭＳ Ｐゴシック"/>
        <family val="3"/>
        <charset val="128"/>
      </rPr>
      <t>2</t>
    </r>
    <r>
      <rPr>
        <sz val="11"/>
        <color theme="1"/>
        <rFont val="ＭＳ Ｐゴシック"/>
        <family val="3"/>
        <charset val="128"/>
      </rPr>
      <t>］
【二酸化炭素由来】</t>
    </r>
  </si>
  <si>
    <r>
      <rPr>
        <sz val="11"/>
        <color theme="1"/>
        <rFont val="ＭＳ Ｐゴシック"/>
        <family val="3"/>
        <charset val="128"/>
      </rPr>
      <t>GHG排出量［t-CH</t>
    </r>
    <r>
      <rPr>
        <vertAlign val="subscript"/>
        <sz val="11"/>
        <color theme="1"/>
        <rFont val="ＭＳ Ｐゴシック"/>
        <family val="3"/>
        <charset val="128"/>
      </rPr>
      <t>4</t>
    </r>
    <r>
      <rPr>
        <sz val="11"/>
        <color theme="1"/>
        <rFont val="ＭＳ Ｐゴシック"/>
        <family val="3"/>
        <charset val="128"/>
      </rPr>
      <t>］
【メタン由来】</t>
    </r>
  </si>
  <si>
    <r>
      <rPr>
        <sz val="11"/>
        <color theme="1"/>
        <rFont val="ＭＳ Ｐゴシック"/>
        <family val="3"/>
        <charset val="128"/>
      </rPr>
      <t>GHG排出量［t-N</t>
    </r>
    <r>
      <rPr>
        <vertAlign val="subscript"/>
        <sz val="11"/>
        <color theme="1"/>
        <rFont val="ＭＳ Ｐゴシック"/>
        <family val="3"/>
        <charset val="128"/>
      </rPr>
      <t>2</t>
    </r>
    <r>
      <rPr>
        <sz val="11"/>
        <color theme="1"/>
        <rFont val="ＭＳ Ｐゴシック"/>
        <family val="3"/>
        <charset val="128"/>
      </rPr>
      <t>O］
【一酸化二窒素由来】</t>
    </r>
  </si>
  <si>
    <r>
      <rPr>
        <b/>
        <sz val="11"/>
        <color theme="1"/>
        <rFont val="ＭＳ Ｐゴシック"/>
        <family val="3"/>
        <charset val="128"/>
      </rPr>
      <t>GHG排出量［t-CO</t>
    </r>
    <r>
      <rPr>
        <b/>
        <vertAlign val="subscript"/>
        <sz val="11"/>
        <color theme="1"/>
        <rFont val="ＭＳ Ｐゴシック"/>
        <family val="3"/>
        <charset val="128"/>
      </rPr>
      <t>2</t>
    </r>
    <r>
      <rPr>
        <b/>
        <sz val="11"/>
        <color theme="1"/>
        <rFont val="ＭＳ Ｐゴシック"/>
        <family val="3"/>
        <charset val="128"/>
      </rPr>
      <t>］
【合計】</t>
    </r>
  </si>
  <si>
    <t>T-N</t>
  </si>
  <si>
    <t>濃度
（mg/L)</t>
  </si>
  <si>
    <r>
      <rPr>
        <sz val="11"/>
        <color theme="1"/>
        <rFont val="ＭＳ Ｐゴシック"/>
        <family val="3"/>
        <charset val="128"/>
      </rPr>
      <t>水量
（m</t>
    </r>
    <r>
      <rPr>
        <vertAlign val="superscript"/>
        <sz val="11"/>
        <color theme="1"/>
        <rFont val="ＭＳ Ｐゴシック"/>
        <family val="3"/>
        <charset val="128"/>
      </rPr>
      <t>3</t>
    </r>
    <r>
      <rPr>
        <sz val="11"/>
        <color theme="1"/>
        <rFont val="ＭＳ Ｐゴシック"/>
        <family val="3"/>
        <charset val="128"/>
      </rPr>
      <t>/日）</t>
    </r>
  </si>
  <si>
    <t>負荷量
（kg/日）</t>
  </si>
  <si>
    <t>処理場流入水量（集約前）</t>
  </si>
  <si>
    <t>容量計算書より</t>
  </si>
  <si>
    <t>　反応槽流入水量（集約前）①</t>
  </si>
  <si>
    <t>　　返流水（集約前）</t>
  </si>
  <si>
    <t>　　返流水（集約後）</t>
  </si>
  <si>
    <t>　反応槽流入水量（集約後）②</t>
  </si>
  <si>
    <t>増加量（②-①）</t>
  </si>
  <si>
    <t xml:space="preserve">増加送風量：ΔQ </t>
  </si>
  <si>
    <t>=2.46　×　（　0.6　×</t>
  </si>
  <si>
    <t>＋4.57×</t>
  </si>
  <si>
    <t>）×10＾-2</t>
  </si>
  <si>
    <t>ｍ3/分</t>
  </si>
  <si>
    <r>
      <rPr>
        <sz val="10"/>
        <rFont val="ＭＳ Ｐゴシック"/>
        <family val="3"/>
        <charset val="128"/>
      </rPr>
      <t>増加送風機動力：ΔL</t>
    </r>
    <r>
      <rPr>
        <vertAlign val="subscript"/>
        <sz val="10"/>
        <rFont val="ＭＳ Ｐゴシック"/>
        <family val="3"/>
        <charset val="128"/>
      </rPr>
      <t>S</t>
    </r>
    <r>
      <rPr>
        <sz val="10"/>
        <rFont val="ＭＳ Ｐゴシック"/>
        <family val="3"/>
        <charset val="128"/>
      </rPr>
      <t xml:space="preserve"> </t>
    </r>
  </si>
  <si>
    <t>=2.83　×　（　0.6　×</t>
  </si>
  <si>
    <t>kw</t>
  </si>
  <si>
    <t>現状の汚泥処理量（事業計画書の容量計算書で確認）</t>
  </si>
  <si>
    <t>判定</t>
  </si>
  <si>
    <t>施設能力</t>
  </si>
  <si>
    <t>汚水量由来</t>
  </si>
  <si>
    <t>機器仕様</t>
  </si>
  <si>
    <t>投入条件
TS［％］</t>
  </si>
  <si>
    <r>
      <rPr>
        <sz val="9"/>
        <color theme="1"/>
        <rFont val="ＭＳ Ｐゴシック"/>
        <family val="3"/>
        <charset val="128"/>
      </rPr>
      <t xml:space="preserve">Ａ
水量比
</t>
    </r>
    <r>
      <rPr>
        <vertAlign val="superscript"/>
        <sz val="9"/>
        <color theme="1"/>
        <rFont val="ＭＳ Ｐゴシック"/>
        <family val="3"/>
        <charset val="128"/>
      </rPr>
      <t>※1</t>
    </r>
  </si>
  <si>
    <r>
      <rPr>
        <sz val="9"/>
        <color theme="1"/>
        <rFont val="ＭＳ Ｐゴシック"/>
        <family val="3"/>
        <charset val="128"/>
      </rPr>
      <t>Ｂ
施設能力
［m</t>
    </r>
    <r>
      <rPr>
        <vertAlign val="superscript"/>
        <sz val="9"/>
        <color theme="1"/>
        <rFont val="ＭＳ Ｐゴシック"/>
        <family val="3"/>
        <charset val="128"/>
      </rPr>
      <t>3</t>
    </r>
    <r>
      <rPr>
        <sz val="9"/>
        <color theme="1"/>
        <rFont val="ＭＳ Ｐゴシック"/>
        <family val="3"/>
        <charset val="128"/>
      </rPr>
      <t>/日］</t>
    </r>
    <r>
      <rPr>
        <vertAlign val="superscript"/>
        <sz val="9"/>
        <color theme="1"/>
        <rFont val="ＭＳ Ｐゴシック"/>
        <family val="3"/>
        <charset val="128"/>
      </rPr>
      <t>※2</t>
    </r>
  </si>
  <si>
    <r>
      <rPr>
        <sz val="9"/>
        <color theme="1"/>
        <rFont val="ＭＳ Ｐゴシック"/>
        <family val="3"/>
        <charset val="128"/>
      </rPr>
      <t>Ｃ
汚泥処理量①
［m</t>
    </r>
    <r>
      <rPr>
        <vertAlign val="superscript"/>
        <sz val="9"/>
        <color theme="1"/>
        <rFont val="ＭＳ Ｐゴシック"/>
        <family val="3"/>
        <charset val="128"/>
      </rPr>
      <t>3</t>
    </r>
    <r>
      <rPr>
        <sz val="9"/>
        <color theme="1"/>
        <rFont val="ＭＳ Ｐゴシック"/>
        <family val="3"/>
        <charset val="128"/>
      </rPr>
      <t>/日］
日最大ベース</t>
    </r>
  </si>
  <si>
    <t>汚泥</t>
  </si>
  <si>
    <t>重力濃縮</t>
  </si>
  <si>
    <t>○</t>
  </si>
  <si>
    <t>m3/時（2台）</t>
  </si>
  <si>
    <t>脱水機</t>
  </si>
  <si>
    <t>水処理系（日最大水量）</t>
  </si>
  <si>
    <t>※1容量計算書における、水処理系の流入水量に対する各処理工程の投入汚泥量の比</t>
  </si>
  <si>
    <r>
      <rPr>
        <sz val="9"/>
        <color theme="1"/>
        <rFont val="ＭＳ Ｐゴシック"/>
        <family val="3"/>
        <charset val="128"/>
      </rPr>
      <t>※2汚泥処理量もm</t>
    </r>
    <r>
      <rPr>
        <vertAlign val="superscript"/>
        <sz val="9"/>
        <color theme="1"/>
        <rFont val="ＭＳ Ｐゴシック"/>
        <family val="3"/>
        <charset val="128"/>
      </rPr>
      <t>3</t>
    </r>
    <r>
      <rPr>
        <sz val="9"/>
        <color theme="1"/>
        <rFont val="ＭＳ Ｐゴシック"/>
        <family val="3"/>
        <charset val="128"/>
      </rPr>
      <t>/日換算して計上</t>
    </r>
  </si>
  <si>
    <t>現状（１年目）の
電力係数</t>
    <rPh sb="0" eb="2">
      <t>ゲンジョウ</t>
    </rPh>
    <rPh sb="4" eb="6">
      <t>ネンメ</t>
    </rPh>
    <phoneticPr fontId="26"/>
  </si>
  <si>
    <t>A処理場</t>
    <phoneticPr fontId="26"/>
  </si>
  <si>
    <r>
      <t xml:space="preserve">窒素負荷（日平均）
[ｔ/日］
</t>
    </r>
    <r>
      <rPr>
        <sz val="9"/>
        <color theme="1"/>
        <rFont val="ＭＳ Ｐゴシック"/>
        <family val="3"/>
        <charset val="128"/>
      </rPr>
      <t>※し尿処理施設の
N2O排出量算出のため</t>
    </r>
    <rPh sb="0" eb="2">
      <t>チッソ</t>
    </rPh>
    <rPh sb="2" eb="4">
      <t>フカ</t>
    </rPh>
    <rPh sb="18" eb="19">
      <t>ニョウ</t>
    </rPh>
    <rPh sb="19" eb="21">
      <t>ショリ</t>
    </rPh>
    <rPh sb="21" eb="23">
      <t>シセツ</t>
    </rPh>
    <rPh sb="28" eb="30">
      <t>ハイシュツ</t>
    </rPh>
    <rPh sb="30" eb="31">
      <t>リョウ</t>
    </rPh>
    <rPh sb="31" eb="33">
      <t>サンシュツ</t>
    </rPh>
    <phoneticPr fontId="26"/>
  </si>
  <si>
    <t>ただし、前処理施設のみの場合は</t>
    <rPh sb="4" eb="7">
      <t>マエショリ</t>
    </rPh>
    <rPh sb="7" eb="9">
      <t>シセツ</t>
    </rPh>
    <rPh sb="12" eb="14">
      <t>バアイ</t>
    </rPh>
    <phoneticPr fontId="26"/>
  </si>
  <si>
    <t>現状</t>
    <rPh sb="0" eb="2">
      <t>ゲンジョウ</t>
    </rPh>
    <phoneticPr fontId="26"/>
  </si>
  <si>
    <t>将来</t>
    <rPh sb="0" eb="2">
      <t>ショウライ</t>
    </rPh>
    <phoneticPr fontId="26"/>
  </si>
  <si>
    <t>※［　］内はし尿処理施設の場合の単位</t>
    <phoneticPr fontId="26"/>
  </si>
  <si>
    <t>発生
汚泥量</t>
    <phoneticPr fontId="26"/>
  </si>
  <si>
    <t>下水+し尿（再編ケース）</t>
    <rPh sb="4" eb="5">
      <t>ニョウ</t>
    </rPh>
    <phoneticPr fontId="26"/>
  </si>
  <si>
    <t>　　集約し尿由来返流水</t>
    <rPh sb="5" eb="6">
      <t>ニョウ</t>
    </rPh>
    <phoneticPr fontId="26"/>
  </si>
  <si>
    <t>下水+し尿</t>
    <rPh sb="4" eb="5">
      <t>ニョウ</t>
    </rPh>
    <phoneticPr fontId="26"/>
  </si>
  <si>
    <t>維持管理費
原単位</t>
    <rPh sb="4" eb="5">
      <t>ヒ</t>
    </rPh>
    <phoneticPr fontId="26"/>
  </si>
  <si>
    <t>統合時の
汚泥処理量</t>
    <phoneticPr fontId="26"/>
  </si>
  <si>
    <t>C≦Ｂ</t>
    <phoneticPr fontId="26"/>
  </si>
  <si>
    <t>　〃</t>
    <phoneticPr fontId="26"/>
  </si>
  <si>
    <t>希釈水料金</t>
    <rPh sb="0" eb="2">
      <t>キシャク</t>
    </rPh>
    <rPh sb="2" eb="3">
      <t>ミズ</t>
    </rPh>
    <rPh sb="3" eb="5">
      <t>リョウキン</t>
    </rPh>
    <phoneticPr fontId="26"/>
  </si>
  <si>
    <t>し尿・浄化槽収集量（日平均）（kL/日）</t>
    <phoneticPr fontId="26"/>
  </si>
  <si>
    <t>　　合併処理浄化槽（kL/日）</t>
    <rPh sb="2" eb="4">
      <t>ガッペイ</t>
    </rPh>
    <rPh sb="4" eb="6">
      <t>ショリ</t>
    </rPh>
    <rPh sb="6" eb="9">
      <t>ジョウカソウ</t>
    </rPh>
    <phoneticPr fontId="26"/>
  </si>
  <si>
    <t>　　単独処理浄化槽（kL/日）</t>
    <rPh sb="2" eb="4">
      <t>タンドク</t>
    </rPh>
    <rPh sb="4" eb="6">
      <t>ショリ</t>
    </rPh>
    <rPh sb="6" eb="9">
      <t>ジョウカソウ</t>
    </rPh>
    <phoneticPr fontId="26"/>
  </si>
  <si>
    <t>　　し尿汲み取り（kL/日）</t>
    <rPh sb="3" eb="4">
      <t>ニョウ</t>
    </rPh>
    <rPh sb="4" eb="5">
      <t>ク</t>
    </rPh>
    <rPh sb="6" eb="7">
      <t>ト</t>
    </rPh>
    <phoneticPr fontId="26"/>
  </si>
  <si>
    <t>：（A下水処理場）ｙ＝（72,734×（「①処理能力」）＾0.42）/1000*(1+23.8/33.4)　 （費用関数で機電の占める割合）</t>
    <phoneticPr fontId="26"/>
  </si>
  <si>
    <r>
      <t>（前処理施設新設）ｙ＝（234,173×（「①処理能力」）＾0.4582、希釈のための上水単価　300円/m</t>
    </r>
    <r>
      <rPr>
        <vertAlign val="superscript"/>
        <sz val="11"/>
        <rFont val="ＭＳ Ｐゴシック"/>
        <family val="3"/>
        <charset val="128"/>
        <scheme val="minor"/>
      </rPr>
      <t>3</t>
    </r>
    <rPh sb="37" eb="39">
      <t>キシャク</t>
    </rPh>
    <rPh sb="43" eb="45">
      <t>ジョウスイ</t>
    </rPh>
    <rPh sb="45" eb="47">
      <t>タンカ</t>
    </rPh>
    <rPh sb="51" eb="52">
      <t>エン</t>
    </rPh>
    <phoneticPr fontId="26"/>
  </si>
  <si>
    <r>
      <t>：「⑤維持管理費」+「⑥機電更新費」</t>
    </r>
    <r>
      <rPr>
        <sz val="11"/>
        <color theme="1"/>
        <rFont val="ＭＳ Ｐゴシック"/>
        <family val="3"/>
        <charset val="128"/>
        <scheme val="minor"/>
      </rPr>
      <t>+</t>
    </r>
    <r>
      <rPr>
        <sz val="11"/>
        <color theme="1"/>
        <rFont val="ＭＳ Ｐゴシック"/>
        <family val="3"/>
        <charset val="128"/>
        <scheme val="minor"/>
      </rPr>
      <t>「</t>
    </r>
    <r>
      <rPr>
        <sz val="11"/>
        <color theme="1"/>
        <rFont val="ＭＳ Ｐゴシック"/>
        <family val="3"/>
        <charset val="128"/>
        <scheme val="minor"/>
      </rPr>
      <t>⑦</t>
    </r>
    <r>
      <rPr>
        <sz val="11"/>
        <color theme="1"/>
        <rFont val="ＭＳ Ｐゴシック"/>
        <family val="3"/>
        <charset val="128"/>
        <scheme val="minor"/>
      </rPr>
      <t>接続事業費」</t>
    </r>
    <rPh sb="21" eb="23">
      <t>セツゾク</t>
    </rPh>
    <rPh sb="23" eb="25">
      <t>ジギョウ</t>
    </rPh>
    <phoneticPr fontId="26"/>
  </si>
  <si>
    <t>：「⑤維持管理費」+「⑥機電更新費」</t>
    <phoneticPr fontId="26"/>
  </si>
  <si>
    <t>耐用年数</t>
  </si>
  <si>
    <t>更新時期</t>
  </si>
  <si>
    <t>25年</t>
  </si>
  <si>
    <t>12年目</t>
  </si>
  <si>
    <t>6年目</t>
  </si>
  <si>
    <t>し尿処理場</t>
    <rPh sb="1" eb="2">
      <t>ニョウ</t>
    </rPh>
    <rPh sb="2" eb="4">
      <t>ショリ</t>
    </rPh>
    <rPh sb="4" eb="5">
      <t>ジョウ</t>
    </rPh>
    <phoneticPr fontId="26"/>
  </si>
  <si>
    <r>
      <t>浄化槽</t>
    </r>
    <r>
      <rPr>
        <vertAlign val="superscript"/>
        <sz val="11"/>
        <color theme="1"/>
        <rFont val="ＭＳ Ｐゴシック"/>
        <family val="3"/>
        <charset val="128"/>
        <scheme val="minor"/>
      </rPr>
      <t>※</t>
    </r>
    <phoneticPr fontId="26"/>
  </si>
  <si>
    <t>単位：mg/L</t>
    <rPh sb="0" eb="2">
      <t>タンイ</t>
    </rPh>
    <phoneticPr fontId="30"/>
  </si>
  <si>
    <t>項目</t>
    <rPh sb="0" eb="2">
      <t>コウモク</t>
    </rPh>
    <phoneticPr fontId="30"/>
  </si>
  <si>
    <t>濃度</t>
    <rPh sb="0" eb="2">
      <t>ノウド</t>
    </rPh>
    <phoneticPr fontId="30"/>
  </si>
  <si>
    <t>備考</t>
    <rPh sb="0" eb="2">
      <t>ビコウ</t>
    </rPh>
    <phoneticPr fontId="30"/>
  </si>
  <si>
    <t>ＢＯＤ</t>
    <phoneticPr fontId="30"/>
  </si>
  <si>
    <t>全体計画より</t>
    <rPh sb="0" eb="2">
      <t>ゼンタイ</t>
    </rPh>
    <rPh sb="2" eb="4">
      <t>ケイカク</t>
    </rPh>
    <phoneticPr fontId="30"/>
  </si>
  <si>
    <t>ＣＯＤ</t>
    <phoneticPr fontId="30"/>
  </si>
  <si>
    <t>-</t>
    <phoneticPr fontId="30"/>
  </si>
  <si>
    <t>未設定</t>
    <rPh sb="0" eb="3">
      <t>ミセッテイ</t>
    </rPh>
    <phoneticPr fontId="30"/>
  </si>
  <si>
    <t>ＳＳ</t>
    <phoneticPr fontId="30"/>
  </si>
  <si>
    <t>Ｔ-Ｎ</t>
    <phoneticPr fontId="30"/>
  </si>
  <si>
    <t>NH4-N</t>
    <phoneticPr fontId="30"/>
  </si>
  <si>
    <t>Ｔ-Ｐ</t>
    <phoneticPr fontId="30"/>
  </si>
  <si>
    <t>A下水処理場維持管理費</t>
  </si>
  <si>
    <t>A下水処理場更新費</t>
  </si>
  <si>
    <t>累計事業費</t>
  </si>
  <si>
    <t>し尿処理施設維持管理費</t>
  </si>
  <si>
    <t>し尿処理施設維持管理費</t>
    <rPh sb="6" eb="8">
      <t>イジ</t>
    </rPh>
    <rPh sb="8" eb="10">
      <t>カンリ</t>
    </rPh>
    <rPh sb="10" eb="11">
      <t>ヒ</t>
    </rPh>
    <phoneticPr fontId="26"/>
  </si>
  <si>
    <t>し尿処理施設更新費</t>
  </si>
  <si>
    <t>し尿処理施設更新費</t>
    <rPh sb="6" eb="8">
      <t>コウシン</t>
    </rPh>
    <rPh sb="8" eb="9">
      <t>ヒ</t>
    </rPh>
    <phoneticPr fontId="26"/>
  </si>
  <si>
    <t>前処理施設新設費</t>
    <rPh sb="0" eb="3">
      <t>マエショリ</t>
    </rPh>
    <rPh sb="3" eb="5">
      <t>シセツ</t>
    </rPh>
    <rPh sb="5" eb="7">
      <t>シンセツ</t>
    </rPh>
    <rPh sb="7" eb="8">
      <t>ヒ</t>
    </rPh>
    <phoneticPr fontId="26"/>
  </si>
  <si>
    <t>希釈水料金</t>
    <rPh sb="0" eb="2">
      <t>キシャク</t>
    </rPh>
    <rPh sb="2" eb="3">
      <t>スイ</t>
    </rPh>
    <rPh sb="3" eb="5">
      <t>リョウキン</t>
    </rPh>
    <phoneticPr fontId="26"/>
  </si>
  <si>
    <t>処理施設の再編成</t>
    <rPh sb="0" eb="2">
      <t>ショリ</t>
    </rPh>
    <rPh sb="2" eb="4">
      <t>シセツ</t>
    </rPh>
    <phoneticPr fontId="26"/>
  </si>
  <si>
    <t>処理施設の再編成</t>
    <phoneticPr fontId="26"/>
  </si>
  <si>
    <t>：（A下水処理場）ｙ＝（72,734×（「①処理能力」）＾0.42）/1000*(1+23.8/33.4)、（し尿処理施設）ｙ＝（796,386×（「②処理水量（日平均）」）＾0.1031</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</si>
</sst>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_ "/>
    <numFmt numFmtId="177" formatCode="0.000"/>
    <numFmt numFmtId="178" formatCode="#,##0_);[Red]\(#,##0\)"/>
    <numFmt numFmtId="179" formatCode="0.0"/>
    <numFmt numFmtId="180" formatCode="#,##0.0;[Red]\-#,##0.0"/>
    <numFmt numFmtId="181" formatCode="_ * #,##0_ ;_ * \-#,##0_ ;_ * &quot;-&quot;??_ ;_ @_ "/>
    <numFmt numFmtId="182" formatCode="0.00_ "/>
    <numFmt numFmtId="183" formatCode="0.0000"/>
  </numFmts>
  <fonts count="32" x14ac:knownFonts="1">
    <font>
      <sz val="11"/>
      <color theme="1"/>
      <name val="ＭＳ Ｐゴシック"/>
      <charset val="128"/>
      <scheme val="minor"/>
    </font>
    <font>
      <sz val="9"/>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sz val="11"/>
      <color theme="1"/>
      <name val="ＭＳ Ｐゴシック"/>
      <family val="3"/>
      <charset val="128"/>
    </font>
    <font>
      <sz val="6"/>
      <color theme="1"/>
      <name val="ＭＳ Ｐゴシック"/>
      <family val="3"/>
      <charset val="128"/>
      <scheme val="minor"/>
    </font>
    <font>
      <sz val="11"/>
      <color theme="1" tint="0.499984740745262"/>
      <name val="ＭＳ Ｐゴシック"/>
      <family val="3"/>
      <charset val="128"/>
      <scheme val="minor"/>
    </font>
    <font>
      <sz val="11"/>
      <color theme="4" tint="-0.249977111117893"/>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vertAlign val="superscript"/>
      <sz val="9"/>
      <color theme="1"/>
      <name val="ＭＳ Ｐゴシック"/>
      <family val="3"/>
      <charset val="128"/>
    </font>
    <font>
      <vertAlign val="superscript"/>
      <sz val="11"/>
      <color theme="1"/>
      <name val="ＭＳ Ｐゴシック"/>
      <family val="3"/>
      <charset val="128"/>
    </font>
    <font>
      <sz val="10"/>
      <name val="ＭＳ Ｐゴシック"/>
      <family val="3"/>
      <charset val="128"/>
    </font>
    <font>
      <vertAlign val="subscript"/>
      <sz val="10"/>
      <name val="ＭＳ Ｐゴシック"/>
      <family val="3"/>
      <charset val="128"/>
    </font>
    <font>
      <vertAlign val="subscript"/>
      <sz val="11"/>
      <color theme="1"/>
      <name val="ＭＳ Ｐゴシック"/>
      <family val="3"/>
      <charset val="128"/>
    </font>
    <font>
      <b/>
      <sz val="11"/>
      <color theme="1"/>
      <name val="ＭＳ Ｐゴシック"/>
      <family val="3"/>
      <charset val="128"/>
    </font>
    <font>
      <b/>
      <vertAlign val="subscript"/>
      <sz val="11"/>
      <color theme="1"/>
      <name val="ＭＳ Ｐゴシック"/>
      <family val="3"/>
      <charset val="128"/>
    </font>
    <font>
      <sz val="11"/>
      <color theme="1"/>
      <name val="ＭＳ Ｐゴシック"/>
      <family val="3"/>
      <charset val="128"/>
      <scheme val="minor"/>
    </font>
    <font>
      <sz val="9"/>
      <color theme="4" tint="-0.249977111117893"/>
      <name val="ＭＳ Ｐゴシック"/>
      <family val="3"/>
      <charset val="128"/>
    </font>
    <font>
      <sz val="6"/>
      <name val="ＭＳ Ｐゴシック"/>
      <family val="3"/>
      <charset val="128"/>
      <scheme val="minor"/>
    </font>
    <font>
      <vertAlign val="superscript"/>
      <sz val="11"/>
      <name val="ＭＳ Ｐゴシック"/>
      <family val="3"/>
      <charset val="128"/>
      <scheme val="minor"/>
    </font>
    <font>
      <sz val="11"/>
      <color theme="2" tint="-0.499984740745262"/>
      <name val="ＭＳ Ｐゴシック"/>
      <family val="3"/>
      <charset val="128"/>
      <scheme val="minor"/>
    </font>
    <font>
      <vertAlign val="superscript"/>
      <sz val="11"/>
      <color theme="1"/>
      <name val="ＭＳ Ｐゴシック"/>
      <family val="3"/>
      <charset val="128"/>
      <scheme val="minor"/>
    </font>
    <font>
      <sz val="6"/>
      <name val="ＭＳ Ｐゴシック"/>
      <family val="2"/>
      <charset val="128"/>
      <scheme val="minor"/>
    </font>
    <font>
      <b/>
      <sz val="11"/>
      <name val="ＭＳ Ｐゴシック"/>
      <family val="3"/>
      <charset val="128"/>
      <scheme val="minor"/>
    </font>
  </fonts>
  <fills count="16">
    <fill>
      <patternFill patternType="none"/>
    </fill>
    <fill>
      <patternFill patternType="gray125"/>
    </fill>
    <fill>
      <patternFill patternType="solid">
        <fgColor theme="5"/>
        <bgColor indexed="64"/>
      </patternFill>
    </fill>
    <fill>
      <patternFill patternType="solid">
        <fgColor theme="0" tint="-0.14996795556505021"/>
        <bgColor indexed="64"/>
      </patternFill>
    </fill>
    <fill>
      <patternFill patternType="solid">
        <fgColor theme="9"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14999847407452621"/>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41">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medium">
        <color auto="1"/>
      </right>
      <top style="thin">
        <color auto="1"/>
      </top>
      <bottom style="thin">
        <color auto="1"/>
      </bottom>
      <diagonal/>
    </border>
    <border>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thin">
        <color auto="1"/>
      </right>
      <top/>
      <bottom style="double">
        <color auto="1"/>
      </bottom>
      <diagonal/>
    </border>
    <border>
      <left/>
      <right style="thin">
        <color auto="1"/>
      </right>
      <top style="double">
        <color auto="1"/>
      </top>
      <bottom style="thin">
        <color auto="1"/>
      </bottom>
      <diagonal/>
    </border>
    <border>
      <left/>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double">
        <color auto="1"/>
      </top>
      <bottom style="thin">
        <color auto="1"/>
      </bottom>
      <diagonal/>
    </border>
    <border>
      <left style="thin">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diagonalDown="1">
      <left style="thin">
        <color auto="1"/>
      </left>
      <right/>
      <top style="thin">
        <color auto="1"/>
      </top>
      <bottom style="double">
        <color auto="1"/>
      </bottom>
      <diagonal style="thin">
        <color auto="1"/>
      </diagonal>
    </border>
  </borders>
  <cellStyleXfs count="5">
    <xf numFmtId="0" fontId="0" fillId="0" borderId="0">
      <alignment vertical="center"/>
    </xf>
    <xf numFmtId="38" fontId="24" fillId="0" borderId="0" applyFont="0" applyFill="0" applyBorder="0" applyAlignment="0" applyProtection="0">
      <alignment vertical="center"/>
    </xf>
    <xf numFmtId="181" fontId="15" fillId="0" borderId="0" applyFont="0" applyFill="0" applyBorder="0" applyAlignment="0" applyProtection="0">
      <alignment vertical="center"/>
    </xf>
    <xf numFmtId="9" fontId="24" fillId="0" borderId="0" applyFont="0" applyFill="0" applyBorder="0" applyAlignment="0" applyProtection="0">
      <alignment vertical="center"/>
    </xf>
    <xf numFmtId="0" fontId="15" fillId="0" borderId="0">
      <alignment vertical="center"/>
    </xf>
  </cellStyleXfs>
  <cellXfs count="396">
    <xf numFmtId="0" fontId="0" fillId="0" borderId="0" xfId="0">
      <alignment vertical="center"/>
    </xf>
    <xf numFmtId="0" fontId="0" fillId="0" borderId="1" xfId="0" applyBorder="1" applyAlignment="1">
      <alignment horizontal="center" vertical="center"/>
    </xf>
    <xf numFmtId="38" fontId="0" fillId="0" borderId="1" xfId="1"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3" xfId="0" applyFill="1" applyBorder="1">
      <alignment vertical="center"/>
    </xf>
    <xf numFmtId="0" fontId="0" fillId="0" borderId="2" xfId="0" applyFill="1" applyBorder="1">
      <alignment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left" vertical="center"/>
    </xf>
    <xf numFmtId="0" fontId="0" fillId="0" borderId="0" xfId="0" applyAlignment="1">
      <alignment horizontal="right" vertical="center"/>
    </xf>
    <xf numFmtId="0" fontId="0" fillId="0" borderId="3" xfId="0" applyFill="1" applyBorder="1" applyAlignment="1">
      <alignment horizontal="center" vertical="center"/>
    </xf>
    <xf numFmtId="180" fontId="0" fillId="0" borderId="3" xfId="0" applyNumberFormat="1" applyBorder="1">
      <alignment vertical="center"/>
    </xf>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12" xfId="0" applyFill="1" applyBorder="1">
      <alignment vertical="center"/>
    </xf>
    <xf numFmtId="0" fontId="1" fillId="0" borderId="12" xfId="0" applyFont="1" applyFill="1" applyBorder="1" applyAlignment="1">
      <alignment horizontal="left" vertical="center"/>
    </xf>
    <xf numFmtId="0" fontId="0" fillId="2" borderId="0" xfId="0" applyFill="1">
      <alignment vertical="center"/>
    </xf>
    <xf numFmtId="0" fontId="2" fillId="2" borderId="0" xfId="0" applyFont="1" applyFill="1">
      <alignment vertical="center"/>
    </xf>
    <xf numFmtId="38" fontId="0" fillId="0" borderId="2" xfId="1" applyFont="1" applyBorder="1">
      <alignment vertical="center"/>
    </xf>
    <xf numFmtId="38" fontId="0" fillId="0" borderId="3" xfId="1" applyFont="1" applyBorder="1">
      <alignment vertical="center"/>
    </xf>
    <xf numFmtId="0" fontId="3" fillId="0" borderId="0" xfId="0" applyFont="1" applyAlignment="1">
      <alignment vertical="center" wrapText="1"/>
    </xf>
    <xf numFmtId="0" fontId="3" fillId="0" borderId="0" xfId="0" applyFont="1">
      <alignment vertical="center"/>
    </xf>
    <xf numFmtId="0" fontId="0" fillId="0" borderId="0" xfId="0" applyAlignment="1">
      <alignment vertical="center" wrapText="1"/>
    </xf>
    <xf numFmtId="0" fontId="0" fillId="3" borderId="3" xfId="0" applyFill="1" applyBorder="1">
      <alignment vertical="center"/>
    </xf>
    <xf numFmtId="2" fontId="0" fillId="0" borderId="3" xfId="0" applyNumberFormat="1" applyBorder="1">
      <alignment vertical="center"/>
    </xf>
    <xf numFmtId="2" fontId="0" fillId="0" borderId="3" xfId="1" applyNumberFormat="1" applyFont="1" applyFill="1" applyBorder="1">
      <alignment vertical="center"/>
    </xf>
    <xf numFmtId="38" fontId="0" fillId="0" borderId="3" xfId="1" applyFont="1" applyBorder="1" applyAlignment="1">
      <alignment vertical="center" shrinkToFit="1"/>
    </xf>
    <xf numFmtId="38" fontId="0" fillId="0" borderId="3" xfId="1" applyFont="1" applyBorder="1" applyAlignment="1">
      <alignment horizontal="center" vertical="center"/>
    </xf>
    <xf numFmtId="38" fontId="0" fillId="0" borderId="3" xfId="0" applyNumberFormat="1" applyBorder="1">
      <alignment vertical="center"/>
    </xf>
    <xf numFmtId="9" fontId="0" fillId="0" borderId="3" xfId="3" applyFont="1" applyBorder="1">
      <alignment vertical="center"/>
    </xf>
    <xf numFmtId="38" fontId="3" fillId="0" borderId="3" xfId="1" applyFont="1" applyBorder="1">
      <alignment vertical="center"/>
    </xf>
    <xf numFmtId="38" fontId="3" fillId="0" borderId="3" xfId="0" applyNumberFormat="1" applyFont="1" applyBorder="1">
      <alignment vertical="center"/>
    </xf>
    <xf numFmtId="38" fontId="0" fillId="2" borderId="3" xfId="1" applyFont="1" applyFill="1" applyBorder="1">
      <alignment vertical="center"/>
    </xf>
    <xf numFmtId="0" fontId="4" fillId="0" borderId="0" xfId="0" applyFont="1" applyAlignment="1">
      <alignment horizontal="right" vertical="center"/>
    </xf>
    <xf numFmtId="0" fontId="0" fillId="0" borderId="3" xfId="0" applyBorder="1" applyAlignment="1">
      <alignment vertical="center" wrapText="1"/>
    </xf>
    <xf numFmtId="9" fontId="3" fillId="0" borderId="3" xfId="3" applyFont="1" applyBorder="1">
      <alignment vertical="center"/>
    </xf>
    <xf numFmtId="0" fontId="3" fillId="0" borderId="3" xfId="0" applyFont="1" applyBorder="1">
      <alignment vertical="center"/>
    </xf>
    <xf numFmtId="179" fontId="0" fillId="0" borderId="3" xfId="0" applyNumberFormat="1" applyBorder="1">
      <alignment vertical="center"/>
    </xf>
    <xf numFmtId="38" fontId="0" fillId="0" borderId="2" xfId="0" applyNumberFormat="1" applyBorder="1">
      <alignment vertical="center"/>
    </xf>
    <xf numFmtId="0" fontId="0" fillId="5" borderId="3" xfId="0" applyFill="1" applyBorder="1">
      <alignment vertical="center"/>
    </xf>
    <xf numFmtId="38" fontId="0" fillId="0" borderId="3" xfId="0" applyNumberFormat="1" applyFill="1" applyBorder="1">
      <alignment vertical="center"/>
    </xf>
    <xf numFmtId="38" fontId="0" fillId="4" borderId="3" xfId="1" applyFont="1" applyFill="1" applyBorder="1">
      <alignment vertical="center"/>
    </xf>
    <xf numFmtId="40" fontId="0" fillId="0" borderId="3" xfId="0" applyNumberFormat="1" applyBorder="1">
      <alignment vertical="center"/>
    </xf>
    <xf numFmtId="38" fontId="0" fillId="5" borderId="3" xfId="1" applyFont="1" applyFill="1" applyBorder="1">
      <alignment vertical="center"/>
    </xf>
    <xf numFmtId="176" fontId="0" fillId="0" borderId="7" xfId="0" applyNumberFormat="1" applyBorder="1">
      <alignment vertical="center"/>
    </xf>
    <xf numFmtId="176" fontId="0" fillId="0" borderId="2" xfId="0" applyNumberFormat="1" applyBorder="1">
      <alignment vertical="center"/>
    </xf>
    <xf numFmtId="182" fontId="0" fillId="0" borderId="3" xfId="0" applyNumberFormat="1" applyBorder="1">
      <alignment vertical="center"/>
    </xf>
    <xf numFmtId="38" fontId="0" fillId="0" borderId="3" xfId="1" applyFont="1" applyFill="1" applyBorder="1">
      <alignment vertical="center"/>
    </xf>
    <xf numFmtId="0" fontId="0" fillId="6" borderId="3" xfId="0" applyFill="1" applyBorder="1">
      <alignment vertical="center"/>
    </xf>
    <xf numFmtId="38" fontId="0" fillId="6" borderId="3" xfId="1" applyFont="1" applyFill="1" applyBorder="1">
      <alignment vertical="center"/>
    </xf>
    <xf numFmtId="38" fontId="3" fillId="4" borderId="3" xfId="1" applyFont="1" applyFill="1" applyBorder="1">
      <alignment vertical="center"/>
    </xf>
    <xf numFmtId="38" fontId="3" fillId="6" borderId="3" xfId="1" applyFont="1" applyFill="1" applyBorder="1">
      <alignment vertical="center"/>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center" shrinkToFit="1"/>
    </xf>
    <xf numFmtId="10" fontId="1" fillId="0" borderId="3" xfId="3" applyNumberFormat="1" applyFont="1" applyBorder="1" applyAlignment="1">
      <alignment horizontal="right" vertical="center" shrinkToFit="1"/>
    </xf>
    <xf numFmtId="0" fontId="1" fillId="0" borderId="1" xfId="0" applyFont="1" applyBorder="1" applyAlignment="1">
      <alignment vertical="center" shrinkToFit="1"/>
    </xf>
    <xf numFmtId="41" fontId="1" fillId="0" borderId="9" xfId="0" applyNumberFormat="1" applyFont="1" applyBorder="1" applyAlignment="1">
      <alignment horizontal="right" vertical="center" shrinkToFit="1"/>
    </xf>
    <xf numFmtId="41" fontId="1" fillId="0" borderId="10" xfId="0" applyNumberFormat="1" applyFont="1" applyBorder="1" applyAlignment="1">
      <alignment horizontal="left" vertical="center" shrinkToFit="1"/>
    </xf>
    <xf numFmtId="10" fontId="1" fillId="0" borderId="1" xfId="3" applyNumberFormat="1" applyFont="1" applyBorder="1" applyAlignment="1">
      <alignment horizontal="right" vertical="center" shrinkToFit="1"/>
    </xf>
    <xf numFmtId="0" fontId="1" fillId="0" borderId="0" xfId="0" applyFont="1" applyFill="1" applyBorder="1">
      <alignment vertical="center"/>
    </xf>
    <xf numFmtId="0" fontId="0" fillId="0" borderId="0" xfId="0" applyFont="1" applyFill="1" applyBorder="1">
      <alignment vertical="center"/>
    </xf>
    <xf numFmtId="41" fontId="0" fillId="0" borderId="0" xfId="0" applyNumberFormat="1" applyBorder="1" applyAlignment="1">
      <alignment horizontal="right" vertical="center" shrinkToFit="1"/>
    </xf>
    <xf numFmtId="41" fontId="0" fillId="0" borderId="0" xfId="0" applyNumberFormat="1" applyBorder="1" applyAlignment="1">
      <alignment horizontal="left" vertical="center" shrinkToFit="1"/>
    </xf>
    <xf numFmtId="10" fontId="0" fillId="0" borderId="0" xfId="3" applyNumberFormat="1" applyFont="1" applyBorder="1" applyAlignment="1">
      <alignment horizontal="right" vertical="center" shrinkToFit="1"/>
    </xf>
    <xf numFmtId="178" fontId="0" fillId="0" borderId="0" xfId="0" applyNumberFormat="1" applyBorder="1" applyAlignment="1">
      <alignment horizontal="right" vertical="center" shrinkToFit="1"/>
    </xf>
    <xf numFmtId="0" fontId="0" fillId="7" borderId="0" xfId="0" applyFill="1">
      <alignment vertical="center"/>
    </xf>
    <xf numFmtId="0" fontId="1" fillId="0" borderId="24" xfId="0" applyFont="1" applyBorder="1" applyAlignment="1">
      <alignment horizontal="center" vertical="center" shrinkToFit="1"/>
    </xf>
    <xf numFmtId="0" fontId="1" fillId="0" borderId="5" xfId="0" applyFont="1" applyBorder="1" applyAlignment="1">
      <alignment horizontal="center" vertical="center" wrapText="1"/>
    </xf>
    <xf numFmtId="0" fontId="1" fillId="0" borderId="26" xfId="0" applyFont="1" applyBorder="1" applyAlignment="1">
      <alignment horizontal="center" vertical="center" wrapText="1"/>
    </xf>
    <xf numFmtId="178" fontId="1" fillId="0" borderId="5" xfId="0" applyNumberFormat="1" applyFont="1" applyBorder="1" applyAlignment="1">
      <alignment horizontal="right" vertical="center" shrinkToFit="1"/>
    </xf>
    <xf numFmtId="181" fontId="1" fillId="0" borderId="26" xfId="0" applyNumberFormat="1" applyFont="1" applyFill="1" applyBorder="1" applyAlignment="1">
      <alignment vertical="center" shrinkToFit="1"/>
    </xf>
    <xf numFmtId="9" fontId="1" fillId="0" borderId="6" xfId="3" applyFont="1" applyFill="1" applyBorder="1" applyAlignment="1">
      <alignment horizontal="center" vertical="center" shrinkToFit="1"/>
    </xf>
    <xf numFmtId="10" fontId="1" fillId="0" borderId="19" xfId="3" applyNumberFormat="1" applyFont="1" applyBorder="1" applyAlignment="1">
      <alignment horizontal="right" vertical="center" shrinkToFit="1"/>
    </xf>
    <xf numFmtId="178" fontId="1" fillId="0" borderId="27" xfId="0" applyNumberFormat="1" applyFont="1" applyBorder="1" applyAlignment="1">
      <alignment horizontal="right" vertical="center" shrinkToFit="1"/>
    </xf>
    <xf numFmtId="181" fontId="1" fillId="0" borderId="28" xfId="0" applyNumberFormat="1" applyFont="1" applyFill="1" applyBorder="1" applyAlignment="1">
      <alignment vertical="center" shrinkToFit="1"/>
    </xf>
    <xf numFmtId="9" fontId="1" fillId="0" borderId="29" xfId="3" applyFont="1" applyFill="1" applyBorder="1" applyAlignment="1">
      <alignment horizontal="center" vertical="center" shrinkToFit="1"/>
    </xf>
    <xf numFmtId="178" fontId="1" fillId="0" borderId="31" xfId="0" applyNumberFormat="1" applyFont="1" applyBorder="1" applyAlignment="1">
      <alignment horizontal="right" vertical="center" shrinkToFit="1"/>
    </xf>
    <xf numFmtId="41" fontId="1" fillId="0" borderId="32" xfId="0" applyNumberFormat="1" applyFont="1" applyFill="1" applyBorder="1" applyAlignment="1">
      <alignment horizontal="right" vertical="center" shrinkToFit="1"/>
    </xf>
    <xf numFmtId="41" fontId="1" fillId="0" borderId="25" xfId="0" applyNumberFormat="1" applyFont="1" applyFill="1" applyBorder="1" applyAlignment="1">
      <alignment horizontal="center" vertical="center" shrinkToFit="1"/>
    </xf>
    <xf numFmtId="181" fontId="0" fillId="0" borderId="0" xfId="0" applyNumberFormat="1" applyBorder="1" applyAlignment="1">
      <alignment vertical="center" shrinkToFit="1"/>
    </xf>
    <xf numFmtId="9" fontId="0" fillId="0" borderId="0" xfId="3" applyFont="1" applyBorder="1" applyAlignment="1">
      <alignment horizontal="right" vertical="center" shrinkToFit="1"/>
    </xf>
    <xf numFmtId="0" fontId="0" fillId="0" borderId="3" xfId="0" applyFill="1" applyBorder="1" applyAlignment="1">
      <alignment vertical="center" wrapText="1"/>
    </xf>
    <xf numFmtId="38" fontId="0" fillId="0" borderId="4" xfId="1" applyFont="1" applyBorder="1">
      <alignment vertical="center"/>
    </xf>
    <xf numFmtId="38" fontId="0" fillId="0" borderId="4" xfId="1" applyFont="1" applyBorder="1" applyAlignment="1">
      <alignment vertical="center" wrapText="1"/>
    </xf>
    <xf numFmtId="38" fontId="8" fillId="0" borderId="4" xfId="1" applyFont="1" applyBorder="1" applyAlignment="1">
      <alignment horizontal="center" vertical="center"/>
    </xf>
    <xf numFmtId="38" fontId="8" fillId="0" borderId="3" xfId="1" applyFont="1" applyBorder="1">
      <alignment vertical="center"/>
    </xf>
    <xf numFmtId="38" fontId="8" fillId="0" borderId="3" xfId="1" applyFont="1" applyFill="1" applyBorder="1">
      <alignment vertical="center"/>
    </xf>
    <xf numFmtId="0" fontId="9" fillId="0" borderId="0" xfId="0" applyFont="1" applyAlignment="1">
      <alignment horizontal="right" vertical="center"/>
    </xf>
    <xf numFmtId="38" fontId="3" fillId="0" borderId="0" xfId="0" applyNumberFormat="1" applyFont="1" applyAlignment="1">
      <alignment horizontal="center" vertical="center"/>
    </xf>
    <xf numFmtId="0" fontId="6" fillId="0" borderId="6" xfId="0" applyFont="1" applyBorder="1">
      <alignment vertical="center"/>
    </xf>
    <xf numFmtId="0" fontId="10" fillId="0" borderId="6" xfId="0" applyFont="1" applyBorder="1">
      <alignment vertical="center"/>
    </xf>
    <xf numFmtId="179" fontId="0" fillId="0" borderId="0" xfId="0" applyNumberFormat="1">
      <alignment vertical="center"/>
    </xf>
    <xf numFmtId="0" fontId="0" fillId="0" borderId="0" xfId="0" applyFill="1">
      <alignment vertical="center"/>
    </xf>
    <xf numFmtId="0" fontId="0" fillId="0" borderId="3" xfId="0" applyBorder="1" applyAlignment="1">
      <alignment horizontal="center" vertical="center" shrinkToFit="1"/>
    </xf>
    <xf numFmtId="38" fontId="0" fillId="0" borderId="0" xfId="1" applyFont="1">
      <alignment vertical="center"/>
    </xf>
    <xf numFmtId="0" fontId="11" fillId="0" borderId="0" xfId="0" applyFont="1">
      <alignment vertical="center"/>
    </xf>
    <xf numFmtId="2" fontId="6" fillId="0" borderId="3" xfId="0" applyNumberFormat="1" applyFont="1" applyBorder="1">
      <alignment vertical="center"/>
    </xf>
    <xf numFmtId="2" fontId="6" fillId="0" borderId="3" xfId="1" applyNumberFormat="1" applyFont="1" applyFill="1" applyBorder="1">
      <alignment vertical="center"/>
    </xf>
    <xf numFmtId="177" fontId="6" fillId="0" borderId="3" xfId="1" applyNumberFormat="1" applyFont="1" applyFill="1" applyBorder="1">
      <alignment vertical="center"/>
    </xf>
    <xf numFmtId="38" fontId="6" fillId="0" borderId="3" xfId="1" applyFont="1" applyBorder="1">
      <alignment vertical="center"/>
    </xf>
    <xf numFmtId="38" fontId="6" fillId="0" borderId="3" xfId="1" applyNumberFormat="1" applyFont="1" applyBorder="1" applyAlignment="1">
      <alignment vertical="center" shrinkToFit="1"/>
    </xf>
    <xf numFmtId="183" fontId="0" fillId="0" borderId="3" xfId="0" applyNumberFormat="1" applyBorder="1">
      <alignment vertical="center"/>
    </xf>
    <xf numFmtId="0" fontId="6" fillId="0" borderId="3" xfId="0" applyFont="1" applyBorder="1">
      <alignment vertical="center"/>
    </xf>
    <xf numFmtId="181" fontId="12" fillId="0" borderId="0" xfId="2" applyFont="1">
      <alignment vertical="center"/>
    </xf>
    <xf numFmtId="181" fontId="5" fillId="0" borderId="0" xfId="2" applyFont="1">
      <alignment vertical="center"/>
    </xf>
    <xf numFmtId="38" fontId="0" fillId="0" borderId="3" xfId="1" applyFont="1" applyFill="1" applyBorder="1" applyAlignment="1">
      <alignment horizontal="center" vertical="center"/>
    </xf>
    <xf numFmtId="38" fontId="0" fillId="7" borderId="3" xfId="1" applyFont="1" applyFill="1" applyBorder="1" applyAlignment="1">
      <alignment horizontal="center" vertical="center"/>
    </xf>
    <xf numFmtId="2" fontId="3" fillId="0" borderId="3" xfId="0" applyNumberFormat="1" applyFont="1" applyBorder="1">
      <alignment vertical="center"/>
    </xf>
    <xf numFmtId="2" fontId="3" fillId="7" borderId="3" xfId="0" applyNumberFormat="1" applyFont="1" applyFill="1" applyBorder="1">
      <alignment vertical="center"/>
    </xf>
    <xf numFmtId="38" fontId="9" fillId="0" borderId="3" xfId="1" applyNumberFormat="1" applyFont="1" applyBorder="1">
      <alignment vertical="center"/>
    </xf>
    <xf numFmtId="38" fontId="0" fillId="0" borderId="3" xfId="1" applyNumberFormat="1" applyFont="1" applyBorder="1">
      <alignment vertical="center"/>
    </xf>
    <xf numFmtId="38" fontId="0" fillId="7" borderId="3" xfId="1" applyNumberFormat="1" applyFont="1" applyFill="1" applyBorder="1">
      <alignment vertical="center"/>
    </xf>
    <xf numFmtId="176" fontId="0" fillId="0" borderId="2" xfId="0" applyNumberFormat="1" applyBorder="1" applyAlignment="1">
      <alignment vertical="center" wrapText="1"/>
    </xf>
    <xf numFmtId="38" fontId="3" fillId="7" borderId="3" xfId="1" applyNumberFormat="1" applyFont="1" applyFill="1" applyBorder="1">
      <alignment vertical="center"/>
    </xf>
    <xf numFmtId="38" fontId="3" fillId="0" borderId="3" xfId="1" applyNumberFormat="1" applyFont="1" applyBorder="1">
      <alignment vertical="center"/>
    </xf>
    <xf numFmtId="0" fontId="0" fillId="0" borderId="0" xfId="0" applyBorder="1">
      <alignment vertical="center"/>
    </xf>
    <xf numFmtId="0" fontId="0" fillId="0" borderId="0" xfId="0" applyFill="1" applyBorder="1" applyAlignment="1">
      <alignment horizontal="center" vertical="center"/>
    </xf>
    <xf numFmtId="38" fontId="0" fillId="0" borderId="0" xfId="1" applyFont="1" applyFill="1" applyBorder="1">
      <alignment vertical="center"/>
    </xf>
    <xf numFmtId="0" fontId="0" fillId="0" borderId="0" xfId="0" applyFill="1" applyBorder="1">
      <alignment vertical="center"/>
    </xf>
    <xf numFmtId="0" fontId="6" fillId="0" borderId="3" xfId="0" applyFont="1" applyBorder="1" applyAlignment="1">
      <alignment horizontal="center" vertical="center" wrapText="1"/>
    </xf>
    <xf numFmtId="0" fontId="1" fillId="0" borderId="3" xfId="0" applyFont="1" applyBorder="1" applyAlignment="1">
      <alignment horizontal="center" vertical="center" wrapText="1" shrinkToFit="1"/>
    </xf>
    <xf numFmtId="0" fontId="1" fillId="0" borderId="3" xfId="0" applyFont="1" applyBorder="1" applyAlignment="1">
      <alignment horizontal="left" vertical="center"/>
    </xf>
    <xf numFmtId="38" fontId="3" fillId="0" borderId="3" xfId="0" applyNumberFormat="1" applyFont="1" applyFill="1" applyBorder="1" applyAlignment="1">
      <alignment vertical="center"/>
    </xf>
    <xf numFmtId="38" fontId="13" fillId="0" borderId="3" xfId="0" applyNumberFormat="1" applyFont="1" applyBorder="1">
      <alignment vertical="center"/>
    </xf>
    <xf numFmtId="180" fontId="14" fillId="0" borderId="3" xfId="0" applyNumberFormat="1" applyFont="1" applyFill="1" applyBorder="1">
      <alignment vertical="center"/>
    </xf>
    <xf numFmtId="9" fontId="14" fillId="0" borderId="3" xfId="3" applyFont="1" applyBorder="1">
      <alignment vertical="center"/>
    </xf>
    <xf numFmtId="2" fontId="14" fillId="7" borderId="3" xfId="0" applyNumberFormat="1" applyFont="1" applyFill="1" applyBorder="1">
      <alignment vertical="center"/>
    </xf>
    <xf numFmtId="2" fontId="14" fillId="0" borderId="3" xfId="0" applyNumberFormat="1" applyFont="1" applyBorder="1">
      <alignment vertical="center"/>
    </xf>
    <xf numFmtId="0" fontId="6" fillId="0" borderId="3" xfId="0" applyFont="1" applyBorder="1" applyAlignment="1">
      <alignment horizontal="center" vertical="center" wrapText="1" shrinkToFit="1"/>
    </xf>
    <xf numFmtId="0" fontId="6" fillId="0" borderId="3" xfId="0" applyFont="1" applyBorder="1" applyAlignment="1">
      <alignment horizontal="center" vertical="center"/>
    </xf>
    <xf numFmtId="9" fontId="0" fillId="0" borderId="0" xfId="3" applyFont="1">
      <alignment vertical="center"/>
    </xf>
    <xf numFmtId="38" fontId="6" fillId="0" borderId="3" xfId="1" applyFont="1" applyBorder="1" applyAlignment="1">
      <alignment horizontal="center" vertical="center"/>
    </xf>
    <xf numFmtId="180" fontId="3" fillId="0" borderId="3" xfId="0" applyNumberFormat="1" applyFont="1" applyBorder="1">
      <alignment vertical="center"/>
    </xf>
    <xf numFmtId="180" fontId="0" fillId="9" borderId="3" xfId="0" applyNumberFormat="1" applyFill="1" applyBorder="1">
      <alignment vertical="center"/>
    </xf>
    <xf numFmtId="180" fontId="0" fillId="10" borderId="3" xfId="0" applyNumberFormat="1" applyFill="1" applyBorder="1">
      <alignment vertical="center"/>
    </xf>
    <xf numFmtId="38" fontId="3" fillId="7" borderId="3" xfId="0" applyNumberFormat="1" applyFont="1" applyFill="1" applyBorder="1">
      <alignment vertical="center"/>
    </xf>
    <xf numFmtId="38" fontId="3" fillId="0" borderId="3" xfId="1" applyNumberFormat="1" applyFont="1" applyFill="1" applyBorder="1">
      <alignment vertical="center"/>
    </xf>
    <xf numFmtId="1" fontId="3" fillId="7" borderId="3" xfId="0" applyNumberFormat="1" applyFont="1" applyFill="1" applyBorder="1">
      <alignment vertical="center"/>
    </xf>
    <xf numFmtId="0" fontId="6" fillId="0" borderId="0" xfId="0" applyFont="1">
      <alignment vertical="center"/>
    </xf>
    <xf numFmtId="0" fontId="0" fillId="0" borderId="4" xfId="0" applyFill="1" applyBorder="1" applyAlignment="1">
      <alignment horizontal="center" vertical="center"/>
    </xf>
    <xf numFmtId="177" fontId="0" fillId="0" borderId="3" xfId="1" applyNumberFormat="1" applyFont="1" applyFill="1" applyBorder="1">
      <alignment vertical="center"/>
    </xf>
    <xf numFmtId="177" fontId="0" fillId="0" borderId="4" xfId="1" applyNumberFormat="1" applyFont="1" applyFill="1" applyBorder="1">
      <alignment vertical="center"/>
    </xf>
    <xf numFmtId="179" fontId="0" fillId="0" borderId="3" xfId="0" applyNumberFormat="1" applyFill="1" applyBorder="1">
      <alignment vertical="center"/>
    </xf>
    <xf numFmtId="0" fontId="0" fillId="0" borderId="1" xfId="0" applyBorder="1" applyAlignment="1">
      <alignment horizontal="right" vertical="center"/>
    </xf>
    <xf numFmtId="0" fontId="0" fillId="0" borderId="33" xfId="0" applyBorder="1">
      <alignment vertical="center"/>
    </xf>
    <xf numFmtId="38" fontId="0" fillId="0" borderId="33" xfId="1" applyFont="1" applyBorder="1">
      <alignment vertical="center"/>
    </xf>
    <xf numFmtId="38" fontId="0" fillId="0" borderId="2" xfId="1" applyFont="1" applyFill="1" applyBorder="1">
      <alignment vertical="center"/>
    </xf>
    <xf numFmtId="180" fontId="0" fillId="0" borderId="2" xfId="1" applyNumberFormat="1" applyFont="1" applyBorder="1">
      <alignment vertical="center"/>
    </xf>
    <xf numFmtId="0" fontId="0" fillId="0" borderId="7" xfId="0" applyBorder="1">
      <alignment vertical="center"/>
    </xf>
    <xf numFmtId="9" fontId="0" fillId="0" borderId="2" xfId="3" applyFont="1" applyBorder="1">
      <alignment vertical="center"/>
    </xf>
    <xf numFmtId="9" fontId="0" fillId="0" borderId="2" xfId="3" applyFont="1" applyFill="1" applyBorder="1">
      <alignment vertical="center"/>
    </xf>
    <xf numFmtId="40" fontId="0" fillId="0" borderId="2" xfId="1" applyNumberFormat="1" applyFont="1" applyBorder="1">
      <alignment vertical="center"/>
    </xf>
    <xf numFmtId="40" fontId="0" fillId="0" borderId="2" xfId="1" applyNumberFormat="1" applyFont="1" applyFill="1" applyBorder="1">
      <alignment vertical="center"/>
    </xf>
    <xf numFmtId="40" fontId="0" fillId="0" borderId="8" xfId="1" applyNumberFormat="1" applyFont="1" applyBorder="1">
      <alignment vertical="center"/>
    </xf>
    <xf numFmtId="38" fontId="0" fillId="5" borderId="1" xfId="1" applyFont="1" applyFill="1" applyBorder="1">
      <alignment vertical="center"/>
    </xf>
    <xf numFmtId="38" fontId="0" fillId="4" borderId="2" xfId="1" applyFont="1" applyFill="1" applyBorder="1">
      <alignment vertical="center"/>
    </xf>
    <xf numFmtId="180" fontId="0" fillId="4" borderId="3" xfId="1" applyNumberFormat="1" applyFont="1" applyFill="1" applyBorder="1">
      <alignment vertical="center"/>
    </xf>
    <xf numFmtId="180" fontId="0" fillId="6" borderId="3" xfId="1" applyNumberFormat="1" applyFont="1" applyFill="1" applyBorder="1">
      <alignment vertical="center"/>
    </xf>
    <xf numFmtId="180" fontId="0" fillId="5" borderId="3" xfId="1" applyNumberFormat="1" applyFont="1" applyFill="1" applyBorder="1">
      <alignment vertical="center"/>
    </xf>
    <xf numFmtId="38" fontId="0" fillId="0" borderId="7" xfId="1" applyFont="1" applyBorder="1">
      <alignment vertical="center"/>
    </xf>
    <xf numFmtId="38" fontId="3" fillId="5" borderId="3" xfId="1" applyFont="1" applyFill="1" applyBorder="1">
      <alignment vertical="center"/>
    </xf>
    <xf numFmtId="38" fontId="3" fillId="4" borderId="2" xfId="1" applyFont="1" applyFill="1" applyBorder="1">
      <alignment vertical="center"/>
    </xf>
    <xf numFmtId="0" fontId="0" fillId="0" borderId="1" xfId="0" applyBorder="1" applyAlignment="1">
      <alignment horizontal="center" vertical="center" wrapText="1"/>
    </xf>
    <xf numFmtId="0" fontId="0" fillId="3" borderId="2" xfId="0" applyFill="1" applyBorder="1">
      <alignment vertical="center"/>
    </xf>
    <xf numFmtId="0" fontId="0" fillId="11" borderId="3" xfId="0" applyFill="1" applyBorder="1">
      <alignment vertical="center"/>
    </xf>
    <xf numFmtId="0" fontId="0" fillId="11" borderId="12" xfId="0" applyFill="1" applyBorder="1">
      <alignment vertical="center"/>
    </xf>
    <xf numFmtId="0" fontId="0" fillId="0" borderId="3" xfId="0" applyBorder="1" applyAlignment="1">
      <alignment vertical="center"/>
    </xf>
    <xf numFmtId="0" fontId="1" fillId="0" borderId="0" xfId="0" applyFont="1">
      <alignment vertical="center"/>
    </xf>
    <xf numFmtId="0" fontId="0" fillId="0" borderId="8" xfId="0" applyBorder="1">
      <alignment vertical="center"/>
    </xf>
    <xf numFmtId="0" fontId="0" fillId="0" borderId="7" xfId="0" applyFill="1" applyBorder="1">
      <alignment vertical="center"/>
    </xf>
    <xf numFmtId="38" fontId="0" fillId="0" borderId="7" xfId="1" applyFont="1" applyBorder="1" applyAlignment="1">
      <alignment horizontal="center" vertical="center"/>
    </xf>
    <xf numFmtId="38" fontId="0" fillId="0" borderId="33" xfId="1" applyFont="1" applyBorder="1" applyAlignment="1">
      <alignment vertical="center"/>
    </xf>
    <xf numFmtId="0" fontId="0" fillId="6" borderId="2" xfId="0" applyFill="1" applyBorder="1">
      <alignment vertical="center"/>
    </xf>
    <xf numFmtId="38" fontId="0" fillId="6" borderId="2" xfId="1" applyFont="1" applyFill="1" applyBorder="1">
      <alignment vertical="center"/>
    </xf>
    <xf numFmtId="38" fontId="0" fillId="11" borderId="3" xfId="1" applyFont="1" applyFill="1" applyBorder="1">
      <alignment vertical="center"/>
    </xf>
    <xf numFmtId="180" fontId="0" fillId="11" borderId="3" xfId="1" applyNumberFormat="1" applyFont="1" applyFill="1" applyBorder="1">
      <alignment vertical="center"/>
    </xf>
    <xf numFmtId="0" fontId="0" fillId="5" borderId="2" xfId="0" applyFill="1" applyBorder="1">
      <alignment vertical="center"/>
    </xf>
    <xf numFmtId="9" fontId="0" fillId="5" borderId="3" xfId="3" applyFont="1" applyFill="1" applyBorder="1">
      <alignment vertical="center"/>
    </xf>
    <xf numFmtId="0" fontId="0" fillId="12" borderId="3" xfId="0" applyFill="1" applyBorder="1">
      <alignment vertical="center"/>
    </xf>
    <xf numFmtId="38" fontId="0" fillId="12" borderId="3" xfId="1" applyFont="1" applyFill="1" applyBorder="1">
      <alignment vertical="center"/>
    </xf>
    <xf numFmtId="0" fontId="0" fillId="12" borderId="3" xfId="0" applyFill="1" applyBorder="1" applyAlignment="1">
      <alignment vertical="center"/>
    </xf>
    <xf numFmtId="0" fontId="0" fillId="8" borderId="3" xfId="0" applyFill="1" applyBorder="1">
      <alignment vertical="center"/>
    </xf>
    <xf numFmtId="38" fontId="0" fillId="8" borderId="3" xfId="1" applyFont="1" applyFill="1" applyBorder="1">
      <alignment vertical="center"/>
    </xf>
    <xf numFmtId="0" fontId="0" fillId="0" borderId="19" xfId="0" applyBorder="1" applyAlignment="1">
      <alignment horizontal="center" vertical="center"/>
    </xf>
    <xf numFmtId="0" fontId="0" fillId="0" borderId="19" xfId="0" applyBorder="1" applyAlignment="1">
      <alignment horizontal="center" vertical="center" wrapText="1"/>
    </xf>
    <xf numFmtId="38" fontId="0" fillId="13" borderId="2" xfId="1" applyFont="1" applyFill="1" applyBorder="1">
      <alignment vertical="center"/>
    </xf>
    <xf numFmtId="38" fontId="0" fillId="13" borderId="3" xfId="1" applyFont="1" applyFill="1" applyBorder="1">
      <alignment vertical="center"/>
    </xf>
    <xf numFmtId="9" fontId="0" fillId="0" borderId="3" xfId="3" applyFont="1" applyFill="1" applyBorder="1">
      <alignment vertical="center"/>
    </xf>
    <xf numFmtId="0" fontId="0" fillId="0" borderId="1" xfId="0" applyFill="1" applyBorder="1" applyAlignment="1">
      <alignment horizontal="center" vertical="center" wrapText="1"/>
    </xf>
    <xf numFmtId="38" fontId="0" fillId="14" borderId="3" xfId="1" applyFont="1" applyFill="1" applyBorder="1">
      <alignment vertical="center"/>
    </xf>
    <xf numFmtId="9" fontId="0" fillId="0" borderId="2" xfId="0" applyNumberFormat="1" applyBorder="1">
      <alignment vertical="center"/>
    </xf>
    <xf numFmtId="9" fontId="0" fillId="0" borderId="3" xfId="0" applyNumberFormat="1" applyBorder="1">
      <alignment vertical="center"/>
    </xf>
    <xf numFmtId="0" fontId="0" fillId="0" borderId="31" xfId="0" applyBorder="1">
      <alignment vertical="center"/>
    </xf>
    <xf numFmtId="38" fontId="0" fillId="0" borderId="9" xfId="1" applyFont="1" applyBorder="1" applyAlignment="1">
      <alignment horizontal="center" vertical="center"/>
    </xf>
    <xf numFmtId="0" fontId="0" fillId="0" borderId="34" xfId="0" applyBorder="1" applyAlignment="1">
      <alignment horizontal="center" vertical="center"/>
    </xf>
    <xf numFmtId="0" fontId="0" fillId="0" borderId="8" xfId="0" applyFill="1" applyBorder="1">
      <alignment vertical="center"/>
    </xf>
    <xf numFmtId="38" fontId="0" fillId="0" borderId="0" xfId="0" applyNumberFormat="1">
      <alignment vertical="center"/>
    </xf>
    <xf numFmtId="0" fontId="0" fillId="0" borderId="0" xfId="0" applyBorder="1" applyAlignment="1">
      <alignment vertical="center"/>
    </xf>
    <xf numFmtId="49" fontId="0" fillId="0" borderId="1" xfId="1" applyNumberFormat="1" applyFont="1" applyBorder="1" applyAlignment="1">
      <alignment horizontal="center" vertical="center"/>
    </xf>
    <xf numFmtId="9" fontId="0" fillId="0" borderId="3" xfId="1" applyNumberFormat="1" applyFont="1" applyBorder="1">
      <alignment vertical="center"/>
    </xf>
    <xf numFmtId="0" fontId="3" fillId="0" borderId="0" xfId="0" quotePrefix="1" applyFont="1">
      <alignment vertical="center"/>
    </xf>
    <xf numFmtId="0" fontId="0" fillId="0" borderId="1" xfId="0" applyBorder="1" applyAlignment="1">
      <alignment horizontal="center" vertical="center" wrapText="1"/>
    </xf>
    <xf numFmtId="0" fontId="3" fillId="0" borderId="0" xfId="0" applyFont="1" applyAlignment="1">
      <alignment horizontal="center" vertical="center"/>
    </xf>
    <xf numFmtId="0" fontId="15" fillId="0" borderId="3" xfId="0" applyFont="1" applyBorder="1">
      <alignment vertical="center"/>
    </xf>
    <xf numFmtId="40" fontId="15" fillId="0" borderId="2" xfId="1" applyNumberFormat="1" applyFont="1" applyBorder="1">
      <alignment vertical="center"/>
    </xf>
    <xf numFmtId="0" fontId="15" fillId="0" borderId="0" xfId="0" applyFont="1">
      <alignment vertical="center"/>
    </xf>
    <xf numFmtId="0" fontId="15" fillId="0" borderId="0" xfId="0" applyFont="1" applyAlignment="1">
      <alignment horizontal="right" vertical="center"/>
    </xf>
    <xf numFmtId="2" fontId="0" fillId="0" borderId="2" xfId="0" applyNumberFormat="1" applyBorder="1">
      <alignment vertical="center"/>
    </xf>
    <xf numFmtId="38" fontId="0" fillId="0" borderId="3" xfId="1" applyNumberFormat="1" applyFont="1" applyFill="1" applyBorder="1">
      <alignment vertical="center"/>
    </xf>
    <xf numFmtId="180" fontId="28" fillId="0" borderId="3" xfId="0" applyNumberFormat="1" applyFont="1" applyBorder="1">
      <alignment vertical="center"/>
    </xf>
    <xf numFmtId="0" fontId="1" fillId="0" borderId="12" xfId="0" applyFont="1" applyFill="1" applyBorder="1">
      <alignment vertical="center"/>
    </xf>
    <xf numFmtId="0" fontId="15" fillId="0" borderId="3" xfId="0" applyFont="1" applyBorder="1" applyAlignment="1">
      <alignment horizontal="left" vertical="center"/>
    </xf>
    <xf numFmtId="0" fontId="8" fillId="0" borderId="0" xfId="0" applyFont="1" applyBorder="1" applyAlignment="1">
      <alignment horizontal="center" vertical="center" wrapText="1"/>
    </xf>
    <xf numFmtId="38" fontId="15" fillId="0" borderId="4" xfId="1" applyFont="1" applyBorder="1">
      <alignment vertical="center"/>
    </xf>
    <xf numFmtId="0" fontId="15" fillId="0" borderId="1" xfId="0" applyFont="1" applyBorder="1" applyAlignment="1">
      <alignment horizontal="center" vertical="center" wrapText="1"/>
    </xf>
    <xf numFmtId="0" fontId="0" fillId="7" borderId="3" xfId="0" applyFill="1" applyBorder="1">
      <alignment vertical="center"/>
    </xf>
    <xf numFmtId="0" fontId="3" fillId="7" borderId="3" xfId="0" applyFont="1" applyFill="1" applyBorder="1">
      <alignment vertical="center"/>
    </xf>
    <xf numFmtId="1" fontId="3" fillId="0" borderId="3" xfId="0" applyNumberFormat="1" applyFont="1" applyFill="1" applyBorder="1">
      <alignment vertical="center"/>
    </xf>
    <xf numFmtId="38" fontId="3" fillId="0" borderId="3" xfId="1" applyFont="1" applyFill="1" applyBorder="1">
      <alignment vertical="center"/>
    </xf>
    <xf numFmtId="0" fontId="15" fillId="11" borderId="3" xfId="0" applyFont="1" applyFill="1" applyBorder="1">
      <alignment vertical="center"/>
    </xf>
    <xf numFmtId="0" fontId="6" fillId="11" borderId="3" xfId="0" applyFont="1" applyFill="1" applyBorder="1" applyAlignment="1">
      <alignment horizontal="left" vertical="center"/>
    </xf>
    <xf numFmtId="180" fontId="6" fillId="11" borderId="3" xfId="1" applyNumberFormat="1" applyFont="1" applyFill="1" applyBorder="1">
      <alignment vertical="center"/>
    </xf>
    <xf numFmtId="0" fontId="0" fillId="0" borderId="11" xfId="0" applyBorder="1" applyAlignment="1">
      <alignment horizontal="center" vertical="center"/>
    </xf>
    <xf numFmtId="0" fontId="0" fillId="15" borderId="0" xfId="0" applyFill="1" applyBorder="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Fill="1"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0" fillId="0" borderId="0" xfId="0" applyFill="1" applyBorder="1" applyAlignment="1">
      <alignment horizontal="center" vertical="center" wrapText="1"/>
    </xf>
    <xf numFmtId="0" fontId="7" fillId="0" borderId="22" xfId="0" applyFont="1" applyBorder="1" applyAlignment="1">
      <alignment horizontal="center" vertical="center" wrapText="1"/>
    </xf>
    <xf numFmtId="38" fontId="0" fillId="0" borderId="0" xfId="0" applyNumberFormat="1" applyFill="1" applyBorder="1">
      <alignment vertical="center"/>
    </xf>
    <xf numFmtId="38" fontId="3" fillId="0" borderId="0" xfId="1" applyFont="1" applyFill="1" applyBorder="1">
      <alignment vertical="center"/>
    </xf>
    <xf numFmtId="0" fontId="0" fillId="0" borderId="0" xfId="0" applyFill="1" applyBorder="1" applyAlignment="1">
      <alignment vertical="center"/>
    </xf>
    <xf numFmtId="41" fontId="0" fillId="0" borderId="0" xfId="0" applyNumberFormat="1" applyFill="1" applyBorder="1" applyAlignment="1">
      <alignment horizontal="center" vertical="center"/>
    </xf>
    <xf numFmtId="41" fontId="0" fillId="0" borderId="0" xfId="1" applyNumberFormat="1" applyFont="1" applyFill="1" applyBorder="1">
      <alignment vertical="center"/>
    </xf>
    <xf numFmtId="41" fontId="0" fillId="0" borderId="0" xfId="0" applyNumberFormat="1" applyFill="1" applyBorder="1">
      <alignment vertical="center"/>
    </xf>
    <xf numFmtId="0" fontId="0" fillId="0" borderId="0" xfId="0" applyFill="1" applyBorder="1" applyAlignment="1">
      <alignment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5" fillId="0" borderId="40" xfId="4" applyBorder="1" applyAlignment="1">
      <alignment horizontal="center" vertical="center"/>
    </xf>
    <xf numFmtId="0" fontId="5" fillId="0" borderId="13" xfId="4" applyFont="1" applyBorder="1" applyAlignment="1">
      <alignment horizontal="center" vertical="center" shrinkToFit="1"/>
    </xf>
    <xf numFmtId="0" fontId="5" fillId="0" borderId="7" xfId="4" applyFont="1" applyBorder="1" applyAlignment="1">
      <alignment horizontal="center" vertical="center"/>
    </xf>
    <xf numFmtId="0" fontId="15" fillId="0" borderId="7" xfId="4" applyBorder="1" applyAlignment="1">
      <alignment horizontal="center" vertical="center"/>
    </xf>
    <xf numFmtId="0" fontId="15" fillId="0" borderId="0" xfId="4">
      <alignment vertical="center"/>
    </xf>
    <xf numFmtId="0" fontId="15" fillId="0" borderId="33" xfId="4" applyBorder="1" applyAlignment="1">
      <alignment horizontal="left" vertical="center" wrapText="1"/>
    </xf>
    <xf numFmtId="0" fontId="15" fillId="0" borderId="33" xfId="4" applyBorder="1" applyAlignment="1">
      <alignment horizontal="center" vertical="center" wrapText="1"/>
    </xf>
    <xf numFmtId="0" fontId="15" fillId="0" borderId="33" xfId="4" applyFill="1" applyBorder="1" applyAlignment="1">
      <alignment horizontal="center" vertical="center"/>
    </xf>
    <xf numFmtId="0" fontId="15" fillId="0" borderId="33" xfId="4" applyBorder="1">
      <alignment vertical="center"/>
    </xf>
    <xf numFmtId="0" fontId="15" fillId="0" borderId="33" xfId="4" applyFill="1" applyBorder="1">
      <alignment vertical="center"/>
    </xf>
    <xf numFmtId="0" fontId="4" fillId="0" borderId="33" xfId="4" applyFont="1" applyFill="1" applyBorder="1">
      <alignment vertical="center"/>
    </xf>
    <xf numFmtId="0" fontId="15" fillId="2" borderId="33" xfId="4" applyFill="1" applyBorder="1">
      <alignment vertical="center"/>
    </xf>
    <xf numFmtId="0" fontId="15" fillId="0" borderId="4" xfId="4" applyBorder="1" applyAlignment="1">
      <alignment vertical="center"/>
    </xf>
    <xf numFmtId="0" fontId="15" fillId="0" borderId="4" xfId="4" applyBorder="1" applyAlignment="1">
      <alignment horizontal="center" vertical="center"/>
    </xf>
    <xf numFmtId="0" fontId="15" fillId="0" borderId="3" xfId="4" applyFill="1" applyBorder="1" applyAlignment="1">
      <alignment horizontal="center" vertical="center"/>
    </xf>
    <xf numFmtId="0" fontId="4" fillId="0" borderId="3" xfId="4" applyFont="1" applyFill="1" applyBorder="1" applyAlignment="1">
      <alignment horizontal="center" vertical="center"/>
    </xf>
    <xf numFmtId="0" fontId="15" fillId="0" borderId="3" xfId="4" applyFill="1" applyBorder="1">
      <alignment vertical="center"/>
    </xf>
    <xf numFmtId="0" fontId="15" fillId="2" borderId="3" xfId="4" applyFill="1" applyBorder="1">
      <alignment vertical="center"/>
    </xf>
    <xf numFmtId="0" fontId="15" fillId="0" borderId="3" xfId="4" applyBorder="1">
      <alignment vertical="center"/>
    </xf>
    <xf numFmtId="0" fontId="15" fillId="0" borderId="35" xfId="0" applyFont="1" applyBorder="1" applyAlignment="1">
      <alignment horizontal="center" vertical="center"/>
    </xf>
    <xf numFmtId="38" fontId="0" fillId="0" borderId="2" xfId="1" applyFont="1" applyBorder="1" applyAlignment="1">
      <alignment horizontal="center" vertical="center"/>
    </xf>
    <xf numFmtId="38" fontId="0" fillId="0" borderId="36" xfId="1" applyFont="1" applyBorder="1" applyAlignment="1">
      <alignment horizontal="center" vertical="center"/>
    </xf>
    <xf numFmtId="38" fontId="0" fillId="0" borderId="37" xfId="1" applyFont="1" applyBorder="1" applyAlignment="1">
      <alignment horizontal="center" vertical="center"/>
    </xf>
    <xf numFmtId="38" fontId="0" fillId="0" borderId="38" xfId="1" applyFont="1" applyBorder="1" applyAlignment="1">
      <alignment horizontal="center" vertical="center"/>
    </xf>
    <xf numFmtId="38" fontId="0" fillId="0" borderId="39" xfId="1" applyFont="1" applyBorder="1" applyAlignment="1">
      <alignment horizontal="center" vertical="center"/>
    </xf>
    <xf numFmtId="0" fontId="0" fillId="0" borderId="17" xfId="0" applyBorder="1" applyAlignment="1">
      <alignment horizontal="center" vertical="center" shrinkToFit="1"/>
    </xf>
    <xf numFmtId="0" fontId="15" fillId="0" borderId="17" xfId="0" applyFont="1" applyBorder="1" applyAlignment="1">
      <alignment horizontal="center" vertical="center" shrinkToFit="1"/>
    </xf>
    <xf numFmtId="0" fontId="0" fillId="0" borderId="17" xfId="0" applyBorder="1" applyAlignment="1">
      <alignment horizontal="center" vertical="center" wrapText="1" shrinkToFit="1"/>
    </xf>
    <xf numFmtId="38" fontId="31" fillId="4" borderId="3" xfId="1" applyFont="1" applyFill="1" applyBorder="1">
      <alignment vertical="center"/>
    </xf>
    <xf numFmtId="38" fontId="31" fillId="6" borderId="3" xfId="1" applyFont="1" applyFill="1" applyBorder="1">
      <alignment vertical="center"/>
    </xf>
    <xf numFmtId="38" fontId="31" fillId="5" borderId="3" xfId="1" applyFont="1" applyFill="1" applyBorder="1">
      <alignment vertical="center"/>
    </xf>
    <xf numFmtId="38" fontId="31" fillId="5" borderId="1" xfId="1" applyFont="1" applyFill="1" applyBorder="1">
      <alignment vertical="center"/>
    </xf>
    <xf numFmtId="38" fontId="3" fillId="7" borderId="3" xfId="1" applyFont="1" applyFill="1" applyBorder="1">
      <alignment vertical="center"/>
    </xf>
    <xf numFmtId="177" fontId="0" fillId="7" borderId="3" xfId="0" applyNumberFormat="1" applyFill="1" applyBorder="1">
      <alignment vertical="center"/>
    </xf>
    <xf numFmtId="0" fontId="0" fillId="0" borderId="1" xfId="0" applyBorder="1" applyAlignment="1">
      <alignment horizontal="center" vertical="center"/>
    </xf>
    <xf numFmtId="0" fontId="0" fillId="0" borderId="14" xfId="0" applyBorder="1" applyAlignment="1">
      <alignment horizontal="left" vertical="center"/>
    </xf>
    <xf numFmtId="0" fontId="0" fillId="0" borderId="0" xfId="0" applyBorder="1" applyAlignment="1">
      <alignment horizontal="left" vertical="center"/>
    </xf>
    <xf numFmtId="0" fontId="0" fillId="0" borderId="17" xfId="0" applyBorder="1" applyAlignment="1">
      <alignment horizontal="left"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19" xfId="0" applyBorder="1" applyAlignment="1">
      <alignment horizontal="center" vertical="center" wrapText="1"/>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vertical="center"/>
    </xf>
    <xf numFmtId="0" fontId="0" fillId="0" borderId="2" xfId="0" applyBorder="1" applyAlignment="1">
      <alignment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16" fillId="8" borderId="7"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0" fillId="0" borderId="13" xfId="0" applyBorder="1" applyAlignment="1">
      <alignment horizontal="right" vertical="center"/>
    </xf>
    <xf numFmtId="0" fontId="0" fillId="0" borderId="16" xfId="0" applyBorder="1" applyAlignment="1">
      <alignment horizontal="right" vertical="center"/>
    </xf>
    <xf numFmtId="0" fontId="0" fillId="0" borderId="20" xfId="0" applyBorder="1" applyAlignment="1">
      <alignment horizontal="left" vertical="center"/>
    </xf>
    <xf numFmtId="0" fontId="0" fillId="0" borderId="30" xfId="0" applyBorder="1" applyAlignment="1">
      <alignment horizontal="left"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6" fillId="11" borderId="7" xfId="0" applyFont="1" applyFill="1" applyBorder="1" applyAlignment="1">
      <alignment horizontal="center" vertical="center"/>
    </xf>
    <xf numFmtId="0" fontId="6" fillId="11" borderId="8" xfId="0" applyFont="1" applyFill="1" applyBorder="1" applyAlignment="1">
      <alignment horizontal="center" vertical="center"/>
    </xf>
    <xf numFmtId="0" fontId="0" fillId="5" borderId="7" xfId="0" applyFill="1" applyBorder="1" applyAlignment="1">
      <alignment horizontal="center" vertical="center"/>
    </xf>
    <xf numFmtId="0" fontId="0" fillId="5" borderId="2" xfId="0" applyFill="1" applyBorder="1" applyAlignment="1">
      <alignment horizontal="center" vertical="center"/>
    </xf>
    <xf numFmtId="0" fontId="0" fillId="0" borderId="0" xfId="0" applyFill="1" applyBorder="1" applyAlignment="1">
      <alignment horizontal="center"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9" xfId="0" applyFont="1" applyBorder="1" applyAlignment="1">
      <alignment horizontal="center" vertical="center" wrapText="1"/>
    </xf>
    <xf numFmtId="0" fontId="0" fillId="4" borderId="15" xfId="0" applyFill="1" applyBorder="1" applyAlignment="1">
      <alignment horizontal="center" vertical="center"/>
    </xf>
    <xf numFmtId="0" fontId="0" fillId="4" borderId="18"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6" borderId="3" xfId="0" applyFill="1" applyBorder="1" applyAlignment="1">
      <alignment horizontal="center" vertical="center" wrapText="1"/>
    </xf>
    <xf numFmtId="0" fontId="0" fillId="6" borderId="3" xfId="0" applyFill="1" applyBorder="1" applyAlignment="1">
      <alignment horizontal="center" vertical="center"/>
    </xf>
    <xf numFmtId="0" fontId="0" fillId="5" borderId="13" xfId="0" applyFill="1" applyBorder="1" applyAlignment="1">
      <alignment horizontal="center" vertical="center" wrapText="1"/>
    </xf>
    <xf numFmtId="0" fontId="0" fillId="5" borderId="14" xfId="0" applyFill="1" applyBorder="1" applyAlignment="1">
      <alignment horizontal="center" vertical="center"/>
    </xf>
    <xf numFmtId="0" fontId="0" fillId="4" borderId="3" xfId="0" applyFill="1" applyBorder="1" applyAlignment="1">
      <alignment horizontal="center" vertical="center" wrapText="1"/>
    </xf>
    <xf numFmtId="0" fontId="0" fillId="5" borderId="3" xfId="0" applyFill="1" applyBorder="1" applyAlignment="1">
      <alignment horizontal="center" vertical="center" wrapText="1"/>
    </xf>
    <xf numFmtId="0" fontId="0" fillId="5" borderId="3" xfId="0" applyFill="1" applyBorder="1" applyAlignment="1">
      <alignment horizontal="center" vertical="center"/>
    </xf>
    <xf numFmtId="0" fontId="0" fillId="6" borderId="7" xfId="0" applyFill="1" applyBorder="1" applyAlignment="1">
      <alignment horizontal="center" vertical="center" wrapText="1"/>
    </xf>
    <xf numFmtId="0" fontId="0" fillId="6" borderId="2"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 xfId="0" applyFill="1" applyBorder="1" applyAlignment="1">
      <alignment horizontal="center" vertical="center" wrapText="1"/>
    </xf>
    <xf numFmtId="0" fontId="0" fillId="0" borderId="3" xfId="0" applyBorder="1" applyAlignment="1">
      <alignment horizontal="left" vertical="center"/>
    </xf>
    <xf numFmtId="38" fontId="3" fillId="3" borderId="4" xfId="0" applyNumberFormat="1" applyFont="1" applyFill="1" applyBorder="1" applyAlignment="1">
      <alignment horizontal="center" vertical="center"/>
    </xf>
    <xf numFmtId="38" fontId="3" fillId="3" borderId="5" xfId="0" applyNumberFormat="1" applyFont="1" applyFill="1" applyBorder="1" applyAlignment="1">
      <alignment horizontal="center" vertical="center"/>
    </xf>
    <xf numFmtId="38" fontId="3" fillId="3" borderId="6" xfId="0" applyNumberFormat="1" applyFont="1" applyFill="1" applyBorder="1" applyAlignment="1">
      <alignment horizontal="center" vertical="center"/>
    </xf>
    <xf numFmtId="38" fontId="0" fillId="9" borderId="3" xfId="1" applyFont="1" applyFill="1" applyBorder="1" applyAlignment="1">
      <alignment horizontal="center" vertical="center"/>
    </xf>
    <xf numFmtId="0" fontId="15" fillId="6" borderId="4" xfId="0" applyFont="1" applyFill="1" applyBorder="1" applyAlignment="1">
      <alignment horizontal="center" vertical="center"/>
    </xf>
    <xf numFmtId="0" fontId="0" fillId="0" borderId="33" xfId="0" applyBorder="1" applyAlignment="1">
      <alignment horizontal="center" vertical="center" wrapText="1"/>
    </xf>
    <xf numFmtId="0" fontId="0" fillId="5" borderId="15" xfId="0" applyFill="1" applyBorder="1" applyAlignment="1">
      <alignment horizontal="center" vertical="center"/>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2" xfId="0" applyBorder="1" applyAlignment="1">
      <alignment horizontal="left" vertical="center" wrapText="1"/>
    </xf>
    <xf numFmtId="0" fontId="11" fillId="0" borderId="2" xfId="0" applyFont="1" applyBorder="1" applyAlignment="1">
      <alignment horizontal="center" vertical="center" wrapText="1"/>
    </xf>
    <xf numFmtId="0" fontId="0" fillId="4" borderId="7"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left"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8" fillId="0" borderId="2" xfId="0" applyFont="1" applyBorder="1" applyAlignment="1">
      <alignment horizontal="center" vertical="center" wrapText="1"/>
    </xf>
    <xf numFmtId="0" fontId="0" fillId="4" borderId="33" xfId="0" applyFill="1" applyBorder="1" applyAlignment="1">
      <alignment horizontal="center" vertical="center" wrapText="1"/>
    </xf>
    <xf numFmtId="0" fontId="11" fillId="0" borderId="0" xfId="0" applyFont="1" applyAlignment="1">
      <alignment horizontal="left" vertical="top" wrapText="1"/>
    </xf>
    <xf numFmtId="0" fontId="1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0" xfId="0" applyFont="1" applyBorder="1" applyAlignment="1">
      <alignment horizontal="center" vertical="center" shrinkToFit="1"/>
    </xf>
    <xf numFmtId="41" fontId="1" fillId="0" borderId="4" xfId="0" applyNumberFormat="1" applyFont="1" applyBorder="1" applyAlignment="1">
      <alignment horizontal="center" vertical="center" shrinkToFit="1"/>
    </xf>
    <xf numFmtId="41" fontId="1" fillId="0" borderId="6" xfId="0" applyNumberFormat="1" applyFont="1" applyBorder="1" applyAlignment="1">
      <alignment horizontal="center" vertical="center" shrinkToFit="1"/>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3" fillId="0" borderId="0" xfId="0" quotePrefix="1" applyFont="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3" fillId="0" borderId="0" xfId="0" applyFont="1" applyAlignment="1">
      <alignment horizontal="center" vertical="center"/>
    </xf>
  </cellXfs>
  <cellStyles count="5">
    <cellStyle name="パーセント" xfId="3" builtinId="5"/>
    <cellStyle name="桁区切り" xfId="1" builtinId="6"/>
    <cellStyle name="桁区切り [0.00]" xfId="2" builtinId="3"/>
    <cellStyle name="標準" xfId="0" builtinId="0"/>
    <cellStyle name="標準 2" xfId="4"/>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52530569351"/>
          <c:y val="4.3539713236291001E-2"/>
          <c:w val="0.864815503949108"/>
          <c:h val="0.768050523352929"/>
        </c:manualLayout>
      </c:layout>
      <c:lineChart>
        <c:grouping val="standard"/>
        <c:varyColors val="0"/>
        <c:ser>
          <c:idx val="0"/>
          <c:order val="0"/>
          <c:tx>
            <c:strRef>
              <c:f>行政人口の見通し!$D$4</c:f>
              <c:strCache>
                <c:ptCount val="1"/>
                <c:pt idx="0">
                  <c:v>行政人口</c:v>
                </c:pt>
              </c:strCache>
            </c:strRef>
          </c:tx>
          <c:spPr>
            <a:ln w="22225" cap="rnd" cmpd="sng" algn="ctr">
              <a:solidFill>
                <a:schemeClr val="accent1"/>
              </a:solidFill>
              <a:round/>
            </a:ln>
            <a:effectLst/>
          </c:spPr>
          <c:marker>
            <c:symbol val="none"/>
          </c:marker>
          <c:cat>
            <c:strRef>
              <c:f>行政人口の見通し!$E$2:$AC$2</c:f>
              <c:strCache>
                <c:ptCount val="25"/>
                <c:pt idx="0">
                  <c:v>1（現在）</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strCache>
            </c:strRef>
          </c:cat>
          <c:val>
            <c:numRef>
              <c:f>行政人口の見通し!$E$4:$AC$4</c:f>
              <c:numCache>
                <c:formatCode>#,##0_);[Red]\(#,##0\)</c:formatCode>
                <c:ptCount val="25"/>
                <c:pt idx="0">
                  <c:v>21500</c:v>
                </c:pt>
                <c:pt idx="1">
                  <c:v>21428.333333333332</c:v>
                </c:pt>
                <c:pt idx="2">
                  <c:v>21342.333333333332</c:v>
                </c:pt>
                <c:pt idx="3">
                  <c:v>21242</c:v>
                </c:pt>
                <c:pt idx="4">
                  <c:v>21127.333333333332</c:v>
                </c:pt>
                <c:pt idx="5">
                  <c:v>20998.333333333332</c:v>
                </c:pt>
                <c:pt idx="6">
                  <c:v>20855</c:v>
                </c:pt>
                <c:pt idx="7">
                  <c:v>20697.333333333332</c:v>
                </c:pt>
                <c:pt idx="8">
                  <c:v>20525.333333333332</c:v>
                </c:pt>
                <c:pt idx="9">
                  <c:v>20339</c:v>
                </c:pt>
                <c:pt idx="10">
                  <c:v>20138.333333333332</c:v>
                </c:pt>
                <c:pt idx="11">
                  <c:v>19923.333333333332</c:v>
                </c:pt>
                <c:pt idx="12">
                  <c:v>19694</c:v>
                </c:pt>
                <c:pt idx="13">
                  <c:v>19450.333333333332</c:v>
                </c:pt>
                <c:pt idx="14">
                  <c:v>19192.333333333332</c:v>
                </c:pt>
                <c:pt idx="15">
                  <c:v>18920</c:v>
                </c:pt>
                <c:pt idx="16">
                  <c:v>18633.333333333332</c:v>
                </c:pt>
                <c:pt idx="17">
                  <c:v>18332.333333333332</c:v>
                </c:pt>
                <c:pt idx="18">
                  <c:v>18017</c:v>
                </c:pt>
                <c:pt idx="19">
                  <c:v>17687.333333333332</c:v>
                </c:pt>
                <c:pt idx="20">
                  <c:v>17343.333333333332</c:v>
                </c:pt>
                <c:pt idx="21">
                  <c:v>16985</c:v>
                </c:pt>
                <c:pt idx="22">
                  <c:v>16612.333333333332</c:v>
                </c:pt>
                <c:pt idx="23">
                  <c:v>16225.333333333332</c:v>
                </c:pt>
                <c:pt idx="24">
                  <c:v>15823.999999999998</c:v>
                </c:pt>
              </c:numCache>
            </c:numRef>
          </c:val>
          <c:smooth val="0"/>
          <c:extLst>
            <c:ext xmlns:c16="http://schemas.microsoft.com/office/drawing/2014/chart" uri="{C3380CC4-5D6E-409C-BE32-E72D297353CC}">
              <c16:uniqueId val="{00000000-D267-436D-A72A-F08BFCA9B5FF}"/>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274771856"/>
        <c:axId val="274772248"/>
      </c:lineChart>
      <c:catAx>
        <c:axId val="274771856"/>
        <c:scaling>
          <c:orientation val="minMax"/>
        </c:scaling>
        <c:delete val="0"/>
        <c:axPos val="b"/>
        <c:title>
          <c:tx>
            <c:rich>
              <a:bodyPr rot="0" spcFirstLastPara="1" vertOverflow="ellipsis" vert="horz" wrap="square" anchor="ctr" anchorCtr="1"/>
              <a:lstStyle/>
              <a:p>
                <a:pPr>
                  <a:defRPr lang="ja-JP" sz="900" b="0" i="0" u="none" strike="noStrike" kern="1200" cap="all" baseline="0">
                    <a:solidFill>
                      <a:schemeClr val="dk1">
                        <a:lumMod val="65000"/>
                        <a:lumOff val="35000"/>
                      </a:schemeClr>
                    </a:solidFill>
                    <a:latin typeface="+mn-lt"/>
                    <a:ea typeface="+mn-ea"/>
                    <a:cs typeface="+mn-cs"/>
                  </a:defRPr>
                </a:pPr>
                <a:r>
                  <a:rPr lang="ja-JP"/>
                  <a:t>年度</a:t>
                </a:r>
                <a:r>
                  <a:rPr lang="ja-JP" altLang="en-US"/>
                  <a:t>（年）</a:t>
                </a:r>
                <a:endParaRPr lang="ja-JP"/>
              </a:p>
            </c:rich>
          </c:tx>
          <c:layout>
            <c:manualLayout>
              <c:xMode val="edge"/>
              <c:yMode val="edge"/>
              <c:x val="0.45418081819640299"/>
              <c:y val="0.919319054793313"/>
            </c:manualLayout>
          </c:layout>
          <c:overlay val="0"/>
          <c:spPr>
            <a:noFill/>
            <a:ln>
              <a:noFill/>
            </a:ln>
            <a:effectLst/>
          </c:spPr>
          <c:txPr>
            <a:bodyPr rot="0" spcFirstLastPara="1" vertOverflow="ellipsis" vert="horz" wrap="square" anchor="ctr" anchorCtr="1"/>
            <a:lstStyle/>
            <a:p>
              <a:pPr>
                <a:defRPr lang="ja-JP" sz="900" b="0" i="0" u="none" strike="noStrike" kern="1200" cap="all" baseline="0">
                  <a:solidFill>
                    <a:schemeClr val="dk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lang="ja-JP" sz="900" b="0" i="0" u="none" strike="noStrike" kern="1200" spc="20" baseline="0">
                <a:solidFill>
                  <a:schemeClr val="dk1">
                    <a:lumMod val="65000"/>
                    <a:lumOff val="35000"/>
                  </a:schemeClr>
                </a:solidFill>
                <a:latin typeface="+mn-lt"/>
                <a:ea typeface="+mn-ea"/>
                <a:cs typeface="+mn-cs"/>
              </a:defRPr>
            </a:pPr>
            <a:endParaRPr lang="ja-JP"/>
          </a:p>
        </c:txPr>
        <c:crossAx val="274772248"/>
        <c:crosses val="autoZero"/>
        <c:auto val="1"/>
        <c:lblAlgn val="ctr"/>
        <c:lblOffset val="100"/>
        <c:noMultiLvlLbl val="0"/>
      </c:catAx>
      <c:valAx>
        <c:axId val="274772248"/>
        <c:scaling>
          <c:orientation val="minMax"/>
          <c:min val="0"/>
        </c:scaling>
        <c:delete val="0"/>
        <c:axPos val="l"/>
        <c:title>
          <c:tx>
            <c:rich>
              <a:bodyPr rot="-5400000" spcFirstLastPara="1" vertOverflow="ellipsis" vert="horz" wrap="square" anchor="ctr" anchorCtr="1"/>
              <a:lstStyle/>
              <a:p>
                <a:pPr>
                  <a:defRPr lang="ja-JP" sz="900" b="0" i="0" u="none" strike="noStrike" kern="1200" cap="all" baseline="0">
                    <a:solidFill>
                      <a:schemeClr val="dk1">
                        <a:lumMod val="65000"/>
                        <a:lumOff val="35000"/>
                      </a:schemeClr>
                    </a:solidFill>
                    <a:latin typeface="+mn-lt"/>
                    <a:ea typeface="+mn-ea"/>
                    <a:cs typeface="+mn-cs"/>
                  </a:defRPr>
                </a:pPr>
                <a:r>
                  <a:rPr lang="ja-JP"/>
                  <a:t>行政人口（人）</a:t>
                </a:r>
              </a:p>
            </c:rich>
          </c:tx>
          <c:overlay val="0"/>
          <c:spPr>
            <a:noFill/>
            <a:ln>
              <a:noFill/>
            </a:ln>
            <a:effectLst/>
          </c:spPr>
          <c:txPr>
            <a:bodyPr rot="-5400000" spcFirstLastPara="1" vertOverflow="ellipsis" vert="horz" wrap="square" anchor="ctr" anchorCtr="1"/>
            <a:lstStyle/>
            <a:p>
              <a:pPr>
                <a:defRPr lang="ja-JP" sz="900" b="0" i="0" u="none" strike="noStrike" kern="1200" cap="all" baseline="0">
                  <a:solidFill>
                    <a:schemeClr val="dk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spc="20" baseline="0">
                <a:solidFill>
                  <a:schemeClr val="dk1">
                    <a:lumMod val="65000"/>
                    <a:lumOff val="35000"/>
                  </a:schemeClr>
                </a:solidFill>
                <a:latin typeface="+mn-lt"/>
                <a:ea typeface="+mn-ea"/>
                <a:cs typeface="+mn-cs"/>
              </a:defRPr>
            </a:pPr>
            <a:endParaRPr lang="ja-JP"/>
          </a:p>
        </c:txPr>
        <c:crossAx val="274771856"/>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62762987557401"/>
          <c:y val="0.134259259259259"/>
          <c:w val="0.78076640715163104"/>
          <c:h val="0.68484543598716796"/>
        </c:manualLayout>
      </c:layout>
      <c:barChart>
        <c:barDir val="col"/>
        <c:grouping val="clustered"/>
        <c:varyColors val="0"/>
        <c:ser>
          <c:idx val="2"/>
          <c:order val="2"/>
          <c:tx>
            <c:strRef>
              <c:f>将来フレーム!$B$13</c:f>
              <c:strCache>
                <c:ptCount val="1"/>
                <c:pt idx="0">
                  <c:v>A下水処理場稼働率（％）</c:v>
                </c:pt>
              </c:strCache>
            </c:strRef>
          </c:tx>
          <c:spPr>
            <a:solidFill>
              <a:schemeClr val="accent4">
                <a:lumMod val="20000"/>
                <a:lumOff val="80000"/>
              </a:schemeClr>
            </a:solidFill>
            <a:ln>
              <a:noFill/>
            </a:ln>
            <a:effectLst/>
          </c:spPr>
          <c:invertIfNegative val="0"/>
          <c:cat>
            <c:strRef>
              <c:f>将来フレーム!$C$2:$K$2</c:f>
              <c:strCache>
                <c:ptCount val="9"/>
                <c:pt idx="0">
                  <c:v>1（現在）</c:v>
                </c:pt>
                <c:pt idx="1">
                  <c:v>2</c:v>
                </c:pt>
                <c:pt idx="2">
                  <c:v>3</c:v>
                </c:pt>
                <c:pt idx="3">
                  <c:v>4</c:v>
                </c:pt>
                <c:pt idx="4">
                  <c:v>5</c:v>
                </c:pt>
                <c:pt idx="5">
                  <c:v>10</c:v>
                </c:pt>
                <c:pt idx="6">
                  <c:v>15</c:v>
                </c:pt>
                <c:pt idx="7">
                  <c:v>20</c:v>
                </c:pt>
                <c:pt idx="8">
                  <c:v>25</c:v>
                </c:pt>
              </c:strCache>
            </c:strRef>
          </c:cat>
          <c:val>
            <c:numRef>
              <c:f>将来フレーム!$C$13:$K$13</c:f>
              <c:numCache>
                <c:formatCode>0%</c:formatCode>
                <c:ptCount val="9"/>
                <c:pt idx="0">
                  <c:v>0.45111111111111113</c:v>
                </c:pt>
                <c:pt idx="1">
                  <c:v>0.44959666666666664</c:v>
                </c:pt>
                <c:pt idx="2">
                  <c:v>0.44779222222222226</c:v>
                </c:pt>
                <c:pt idx="3">
                  <c:v>0.4456977777777778</c:v>
                </c:pt>
                <c:pt idx="4">
                  <c:v>0.44328111111111113</c:v>
                </c:pt>
                <c:pt idx="5">
                  <c:v>0.42675111111111114</c:v>
                </c:pt>
                <c:pt idx="6">
                  <c:v>0.4026811111111111</c:v>
                </c:pt>
                <c:pt idx="7">
                  <c:v>0.37110333333333334</c:v>
                </c:pt>
                <c:pt idx="8">
                  <c:v>0.33201777777777775</c:v>
                </c:pt>
              </c:numCache>
            </c:numRef>
          </c:val>
          <c:extLst>
            <c:ext xmlns:c16="http://schemas.microsoft.com/office/drawing/2014/chart" uri="{C3380CC4-5D6E-409C-BE32-E72D297353CC}">
              <c16:uniqueId val="{00000000-9D63-49C7-A694-9C9081149783}"/>
            </c:ext>
          </c:extLst>
        </c:ser>
        <c:dLbls>
          <c:showLegendKey val="0"/>
          <c:showVal val="0"/>
          <c:showCatName val="0"/>
          <c:showSerName val="0"/>
          <c:showPercent val="0"/>
          <c:showBubbleSize val="0"/>
        </c:dLbls>
        <c:gapWidth val="219"/>
        <c:axId val="274773816"/>
        <c:axId val="274774208"/>
      </c:barChart>
      <c:lineChart>
        <c:grouping val="standard"/>
        <c:varyColors val="0"/>
        <c:ser>
          <c:idx val="0"/>
          <c:order val="0"/>
          <c:tx>
            <c:strRef>
              <c:f>将来フレーム!$B$4</c:f>
              <c:strCache>
                <c:ptCount val="1"/>
                <c:pt idx="0">
                  <c:v>A処理区内人口（人）</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cat>
            <c:strRef>
              <c:f>将来フレーム!$C$2:$K$2</c:f>
              <c:strCache>
                <c:ptCount val="9"/>
                <c:pt idx="0">
                  <c:v>1（現在）</c:v>
                </c:pt>
                <c:pt idx="1">
                  <c:v>2</c:v>
                </c:pt>
                <c:pt idx="2">
                  <c:v>3</c:v>
                </c:pt>
                <c:pt idx="3">
                  <c:v>4</c:v>
                </c:pt>
                <c:pt idx="4">
                  <c:v>5</c:v>
                </c:pt>
                <c:pt idx="5">
                  <c:v>10</c:v>
                </c:pt>
                <c:pt idx="6">
                  <c:v>15</c:v>
                </c:pt>
                <c:pt idx="7">
                  <c:v>20</c:v>
                </c:pt>
                <c:pt idx="8">
                  <c:v>25</c:v>
                </c:pt>
              </c:strCache>
            </c:strRef>
          </c:cat>
          <c:val>
            <c:numRef>
              <c:f>将来フレーム!$C$4:$K$4</c:f>
              <c:numCache>
                <c:formatCode>#,##0_);[Red]\(#,##0\)</c:formatCode>
                <c:ptCount val="9"/>
                <c:pt idx="0">
                  <c:v>14000</c:v>
                </c:pt>
                <c:pt idx="1">
                  <c:v>13953</c:v>
                </c:pt>
                <c:pt idx="2">
                  <c:v>13897</c:v>
                </c:pt>
                <c:pt idx="3">
                  <c:v>13832</c:v>
                </c:pt>
                <c:pt idx="4">
                  <c:v>13757</c:v>
                </c:pt>
                <c:pt idx="5">
                  <c:v>13244</c:v>
                </c:pt>
                <c:pt idx="6">
                  <c:v>12497</c:v>
                </c:pt>
                <c:pt idx="7">
                  <c:v>11517</c:v>
                </c:pt>
                <c:pt idx="8">
                  <c:v>10304</c:v>
                </c:pt>
              </c:numCache>
            </c:numRef>
          </c:val>
          <c:smooth val="0"/>
          <c:extLst>
            <c:ext xmlns:c16="http://schemas.microsoft.com/office/drawing/2014/chart" uri="{C3380CC4-5D6E-409C-BE32-E72D297353CC}">
              <c16:uniqueId val="{00000001-9D63-49C7-A694-9C9081149783}"/>
            </c:ext>
          </c:extLst>
        </c:ser>
        <c:ser>
          <c:idx val="1"/>
          <c:order val="1"/>
          <c:tx>
            <c:strRef>
              <c:f>将来フレーム!$B$6</c:f>
              <c:strCache>
                <c:ptCount val="1"/>
                <c:pt idx="0">
                  <c:v>A処理区（日平均）（m3/日）</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将来フレーム!$C$2:$K$2</c:f>
              <c:strCache>
                <c:ptCount val="9"/>
                <c:pt idx="0">
                  <c:v>1（現在）</c:v>
                </c:pt>
                <c:pt idx="1">
                  <c:v>2</c:v>
                </c:pt>
                <c:pt idx="2">
                  <c:v>3</c:v>
                </c:pt>
                <c:pt idx="3">
                  <c:v>4</c:v>
                </c:pt>
                <c:pt idx="4">
                  <c:v>5</c:v>
                </c:pt>
                <c:pt idx="5">
                  <c:v>10</c:v>
                </c:pt>
                <c:pt idx="6">
                  <c:v>15</c:v>
                </c:pt>
                <c:pt idx="7">
                  <c:v>20</c:v>
                </c:pt>
                <c:pt idx="8">
                  <c:v>25</c:v>
                </c:pt>
              </c:strCache>
            </c:strRef>
          </c:cat>
          <c:val>
            <c:numRef>
              <c:f>将来フレーム!$C$6:$K$6</c:f>
              <c:numCache>
                <c:formatCode>#,##0_);[Red]\(#,##0\)</c:formatCode>
                <c:ptCount val="9"/>
                <c:pt idx="0">
                  <c:v>4060</c:v>
                </c:pt>
                <c:pt idx="1">
                  <c:v>4046.37</c:v>
                </c:pt>
                <c:pt idx="2">
                  <c:v>4030.13</c:v>
                </c:pt>
                <c:pt idx="3">
                  <c:v>4011.28</c:v>
                </c:pt>
                <c:pt idx="4">
                  <c:v>3989.53</c:v>
                </c:pt>
                <c:pt idx="5">
                  <c:v>3840.76</c:v>
                </c:pt>
                <c:pt idx="6">
                  <c:v>3624.13</c:v>
                </c:pt>
                <c:pt idx="7">
                  <c:v>3339.93</c:v>
                </c:pt>
                <c:pt idx="8">
                  <c:v>2988.16</c:v>
                </c:pt>
              </c:numCache>
            </c:numRef>
          </c:val>
          <c:smooth val="0"/>
          <c:extLst>
            <c:ext xmlns:c16="http://schemas.microsoft.com/office/drawing/2014/chart" uri="{C3380CC4-5D6E-409C-BE32-E72D297353CC}">
              <c16:uniqueId val="{00000002-9D63-49C7-A694-9C9081149783}"/>
            </c:ext>
          </c:extLst>
        </c:ser>
        <c:ser>
          <c:idx val="3"/>
          <c:order val="3"/>
          <c:tx>
            <c:strRef>
              <c:f>将来フレーム!$B$7</c:f>
              <c:strCache>
                <c:ptCount val="1"/>
                <c:pt idx="0">
                  <c:v>A処理区（日最大）（m3/日）</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val>
            <c:numRef>
              <c:f>将来フレーム!$C$7:$K$7</c:f>
              <c:numCache>
                <c:formatCode>#,##0_);[Red]\(#,##0\)</c:formatCode>
                <c:ptCount val="9"/>
                <c:pt idx="0">
                  <c:v>5800</c:v>
                </c:pt>
                <c:pt idx="1">
                  <c:v>5780.5285714285719</c:v>
                </c:pt>
                <c:pt idx="2">
                  <c:v>5757.3285714285721</c:v>
                </c:pt>
                <c:pt idx="3">
                  <c:v>5730.4000000000005</c:v>
                </c:pt>
                <c:pt idx="4">
                  <c:v>5699.3285714285721</c:v>
                </c:pt>
                <c:pt idx="5">
                  <c:v>5486.8000000000011</c:v>
                </c:pt>
                <c:pt idx="6">
                  <c:v>5177.3285714285721</c:v>
                </c:pt>
                <c:pt idx="7">
                  <c:v>4771.3285714285712</c:v>
                </c:pt>
                <c:pt idx="8">
                  <c:v>4268.8</c:v>
                </c:pt>
              </c:numCache>
            </c:numRef>
          </c:val>
          <c:smooth val="0"/>
          <c:extLst>
            <c:ext xmlns:c16="http://schemas.microsoft.com/office/drawing/2014/chart" uri="{C3380CC4-5D6E-409C-BE32-E72D297353CC}">
              <c16:uniqueId val="{00000003-9D63-49C7-A694-9C9081149783}"/>
            </c:ext>
          </c:extLst>
        </c:ser>
        <c:dLbls>
          <c:showLegendKey val="0"/>
          <c:showVal val="0"/>
          <c:showCatName val="0"/>
          <c:showSerName val="0"/>
          <c:showPercent val="0"/>
          <c:showBubbleSize val="0"/>
        </c:dLbls>
        <c:marker val="1"/>
        <c:smooth val="0"/>
        <c:axId val="274773032"/>
        <c:axId val="274773424"/>
      </c:lineChart>
      <c:catAx>
        <c:axId val="274773032"/>
        <c:scaling>
          <c:orientation val="minMax"/>
        </c:scaling>
        <c:delete val="0"/>
        <c:axPos val="b"/>
        <c:title>
          <c:tx>
            <c:rich>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年度（年）</a:t>
                </a:r>
              </a:p>
            </c:rich>
          </c:tx>
          <c:overlay val="0"/>
          <c:spPr>
            <a:noFill/>
            <a:ln>
              <a:noFill/>
            </a:ln>
            <a:effectLst/>
          </c:spPr>
          <c:txPr>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4773424"/>
        <c:crosses val="autoZero"/>
        <c:auto val="1"/>
        <c:lblAlgn val="ctr"/>
        <c:lblOffset val="100"/>
        <c:noMultiLvlLbl val="0"/>
      </c:catAx>
      <c:valAx>
        <c:axId val="274773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人口（人）もしくは処理水量（</a:t>
                </a:r>
                <a:r>
                  <a:rPr lang="en-US" altLang="ja-JP"/>
                  <a:t>m3/</a:t>
                </a:r>
                <a:r>
                  <a:rPr lang="ja-JP" altLang="en-US"/>
                  <a:t>日）</a:t>
                </a:r>
              </a:p>
            </c:rich>
          </c:tx>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4773032"/>
        <c:crosses val="autoZero"/>
        <c:crossBetween val="between"/>
      </c:valAx>
      <c:catAx>
        <c:axId val="274773816"/>
        <c:scaling>
          <c:orientation val="minMax"/>
        </c:scaling>
        <c:delete val="1"/>
        <c:axPos val="b"/>
        <c:numFmt formatCode="General" sourceLinked="1"/>
        <c:majorTickMark val="out"/>
        <c:minorTickMark val="none"/>
        <c:tickLblPos val="nextTo"/>
        <c:crossAx val="274774208"/>
        <c:crosses val="autoZero"/>
        <c:auto val="1"/>
        <c:lblAlgn val="ctr"/>
        <c:lblOffset val="100"/>
        <c:noMultiLvlLbl val="0"/>
      </c:catAx>
      <c:valAx>
        <c:axId val="274774208"/>
        <c:scaling>
          <c:orientation val="minMax"/>
        </c:scaling>
        <c:delete val="0"/>
        <c:axPos val="r"/>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稼働率（％）</a:t>
                </a:r>
              </a:p>
            </c:rich>
          </c:tx>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4773816"/>
        <c:crosses val="max"/>
        <c:crossBetween val="between"/>
      </c:valAx>
      <c:spPr>
        <a:noFill/>
        <a:ln>
          <a:noFill/>
        </a:ln>
        <a:effectLst/>
      </c:spPr>
    </c:plotArea>
    <c:legend>
      <c:legendPos val="b"/>
      <c:layout>
        <c:manualLayout>
          <c:xMode val="edge"/>
          <c:yMode val="edge"/>
          <c:x val="0.11683421481862501"/>
          <c:y val="2.3726305045202699E-2"/>
          <c:w val="0.52842565295451804"/>
          <c:h val="0.149306649168854"/>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62762987557401"/>
          <c:y val="0.134259259259259"/>
          <c:w val="0.78076640715163104"/>
          <c:h val="0.68484543598716796"/>
        </c:manualLayout>
      </c:layout>
      <c:barChart>
        <c:barDir val="col"/>
        <c:grouping val="clustered"/>
        <c:varyColors val="0"/>
        <c:ser>
          <c:idx val="2"/>
          <c:order val="2"/>
          <c:tx>
            <c:strRef>
              <c:f>将来フレーム!$B$14</c:f>
              <c:strCache>
                <c:ptCount val="1"/>
                <c:pt idx="0">
                  <c:v>し尿処理施設稼働率（％）</c:v>
                </c:pt>
              </c:strCache>
            </c:strRef>
          </c:tx>
          <c:spPr>
            <a:solidFill>
              <a:schemeClr val="accent4">
                <a:lumMod val="20000"/>
                <a:lumOff val="80000"/>
              </a:schemeClr>
            </a:solidFill>
            <a:ln>
              <a:noFill/>
            </a:ln>
            <a:effectLst/>
          </c:spPr>
          <c:invertIfNegative val="0"/>
          <c:cat>
            <c:strRef>
              <c:f>将来フレーム!$C$2:$K$2</c:f>
              <c:strCache>
                <c:ptCount val="9"/>
                <c:pt idx="0">
                  <c:v>1（現在）</c:v>
                </c:pt>
                <c:pt idx="1">
                  <c:v>2</c:v>
                </c:pt>
                <c:pt idx="2">
                  <c:v>3</c:v>
                </c:pt>
                <c:pt idx="3">
                  <c:v>4</c:v>
                </c:pt>
                <c:pt idx="4">
                  <c:v>5</c:v>
                </c:pt>
                <c:pt idx="5">
                  <c:v>10</c:v>
                </c:pt>
                <c:pt idx="6">
                  <c:v>15</c:v>
                </c:pt>
                <c:pt idx="7">
                  <c:v>20</c:v>
                </c:pt>
                <c:pt idx="8">
                  <c:v>25</c:v>
                </c:pt>
              </c:strCache>
            </c:strRef>
          </c:cat>
          <c:val>
            <c:numRef>
              <c:f>将来フレーム!$C$14:$K$14</c:f>
              <c:numCache>
                <c:formatCode>0%</c:formatCode>
                <c:ptCount val="9"/>
                <c:pt idx="0">
                  <c:v>0.66500000000000004</c:v>
                </c:pt>
                <c:pt idx="1">
                  <c:v>0.6651861333333331</c:v>
                </c:pt>
                <c:pt idx="2">
                  <c:v>0.66489413333333314</c:v>
                </c:pt>
                <c:pt idx="3">
                  <c:v>0.66410999999999998</c:v>
                </c:pt>
                <c:pt idx="4">
                  <c:v>0.66289213333333319</c:v>
                </c:pt>
                <c:pt idx="5">
                  <c:v>0.64942599999999995</c:v>
                </c:pt>
                <c:pt idx="6">
                  <c:v>0.62348013333333308</c:v>
                </c:pt>
                <c:pt idx="7">
                  <c:v>0.5844041333333333</c:v>
                </c:pt>
                <c:pt idx="8">
                  <c:v>0.5316059999999998</c:v>
                </c:pt>
              </c:numCache>
            </c:numRef>
          </c:val>
          <c:extLst>
            <c:ext xmlns:c16="http://schemas.microsoft.com/office/drawing/2014/chart" uri="{C3380CC4-5D6E-409C-BE32-E72D297353CC}">
              <c16:uniqueId val="{00000000-2B78-411E-B5E3-E953CCC6655C}"/>
            </c:ext>
          </c:extLst>
        </c:ser>
        <c:dLbls>
          <c:showLegendKey val="0"/>
          <c:showVal val="0"/>
          <c:showCatName val="0"/>
          <c:showSerName val="0"/>
          <c:showPercent val="0"/>
          <c:showBubbleSize val="0"/>
        </c:dLbls>
        <c:gapWidth val="219"/>
        <c:axId val="274775776"/>
        <c:axId val="274776168"/>
      </c:barChart>
      <c:lineChart>
        <c:grouping val="standard"/>
        <c:varyColors val="0"/>
        <c:ser>
          <c:idx val="0"/>
          <c:order val="0"/>
          <c:tx>
            <c:strRef>
              <c:f>将来フレーム!$B$5</c:f>
              <c:strCache>
                <c:ptCount val="1"/>
                <c:pt idx="0">
                  <c:v>し尿・浄化槽人口（人）</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cat>
            <c:strRef>
              <c:f>将来フレーム!$C$2:$K$2</c:f>
              <c:strCache>
                <c:ptCount val="9"/>
                <c:pt idx="0">
                  <c:v>1（現在）</c:v>
                </c:pt>
                <c:pt idx="1">
                  <c:v>2</c:v>
                </c:pt>
                <c:pt idx="2">
                  <c:v>3</c:v>
                </c:pt>
                <c:pt idx="3">
                  <c:v>4</c:v>
                </c:pt>
                <c:pt idx="4">
                  <c:v>5</c:v>
                </c:pt>
                <c:pt idx="5">
                  <c:v>10</c:v>
                </c:pt>
                <c:pt idx="6">
                  <c:v>15</c:v>
                </c:pt>
                <c:pt idx="7">
                  <c:v>20</c:v>
                </c:pt>
                <c:pt idx="8">
                  <c:v>25</c:v>
                </c:pt>
              </c:strCache>
            </c:strRef>
          </c:cat>
          <c:val>
            <c:numRef>
              <c:f>将来フレーム!$C$5:$K$5</c:f>
              <c:numCache>
                <c:formatCode>#,##0_);[Red]\(#,##0\)</c:formatCode>
                <c:ptCount val="9"/>
                <c:pt idx="0">
                  <c:v>7500</c:v>
                </c:pt>
                <c:pt idx="1">
                  <c:v>7475.3333333333321</c:v>
                </c:pt>
                <c:pt idx="2">
                  <c:v>7445.3333333333321</c:v>
                </c:pt>
                <c:pt idx="3">
                  <c:v>7410</c:v>
                </c:pt>
                <c:pt idx="4">
                  <c:v>7370.3333333333321</c:v>
                </c:pt>
                <c:pt idx="5">
                  <c:v>7095</c:v>
                </c:pt>
                <c:pt idx="6">
                  <c:v>6695.3333333333321</c:v>
                </c:pt>
                <c:pt idx="7">
                  <c:v>6170.3333333333321</c:v>
                </c:pt>
                <c:pt idx="8">
                  <c:v>5519.9999999999982</c:v>
                </c:pt>
              </c:numCache>
            </c:numRef>
          </c:val>
          <c:smooth val="0"/>
          <c:extLst>
            <c:ext xmlns:c16="http://schemas.microsoft.com/office/drawing/2014/chart" uri="{C3380CC4-5D6E-409C-BE32-E72D297353CC}">
              <c16:uniqueId val="{00000001-2B78-411E-B5E3-E953CCC6655C}"/>
            </c:ext>
          </c:extLst>
        </c:ser>
        <c:ser>
          <c:idx val="1"/>
          <c:order val="1"/>
          <c:tx>
            <c:strRef>
              <c:f>将来フレーム!$B$8</c:f>
              <c:strCache>
                <c:ptCount val="1"/>
                <c:pt idx="0">
                  <c:v>し尿・浄化槽収集量（日平均）（kL/日）</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将来フレーム!$C$2:$K$2</c:f>
              <c:strCache>
                <c:ptCount val="9"/>
                <c:pt idx="0">
                  <c:v>1（現在）</c:v>
                </c:pt>
                <c:pt idx="1">
                  <c:v>2</c:v>
                </c:pt>
                <c:pt idx="2">
                  <c:v>3</c:v>
                </c:pt>
                <c:pt idx="3">
                  <c:v>4</c:v>
                </c:pt>
                <c:pt idx="4">
                  <c:v>5</c:v>
                </c:pt>
                <c:pt idx="5">
                  <c:v>10</c:v>
                </c:pt>
                <c:pt idx="6">
                  <c:v>15</c:v>
                </c:pt>
                <c:pt idx="7">
                  <c:v>20</c:v>
                </c:pt>
                <c:pt idx="8">
                  <c:v>25</c:v>
                </c:pt>
              </c:strCache>
            </c:strRef>
          </c:cat>
          <c:val>
            <c:numRef>
              <c:f>将来フレーム!$C$8:$K$8</c:f>
              <c:numCache>
                <c:formatCode>#,##0.0;[Red]\-#,##0.0</c:formatCode>
                <c:ptCount val="9"/>
                <c:pt idx="0">
                  <c:v>16.625</c:v>
                </c:pt>
                <c:pt idx="1">
                  <c:v>16.629653333333327</c:v>
                </c:pt>
                <c:pt idx="2">
                  <c:v>16.622353333333329</c:v>
                </c:pt>
                <c:pt idx="3">
                  <c:v>16.60275</c:v>
                </c:pt>
                <c:pt idx="4">
                  <c:v>16.57230333333333</c:v>
                </c:pt>
                <c:pt idx="5">
                  <c:v>16.23565</c:v>
                </c:pt>
                <c:pt idx="6">
                  <c:v>15.587003333333328</c:v>
                </c:pt>
                <c:pt idx="7">
                  <c:v>14.610103333333331</c:v>
                </c:pt>
                <c:pt idx="8">
                  <c:v>13.290149999999995</c:v>
                </c:pt>
              </c:numCache>
            </c:numRef>
          </c:val>
          <c:smooth val="0"/>
          <c:extLst>
            <c:ext xmlns:c16="http://schemas.microsoft.com/office/drawing/2014/chart" uri="{C3380CC4-5D6E-409C-BE32-E72D297353CC}">
              <c16:uniqueId val="{00000002-2B78-411E-B5E3-E953CCC6655C}"/>
            </c:ext>
          </c:extLst>
        </c:ser>
        <c:ser>
          <c:idx val="3"/>
          <c:order val="3"/>
          <c:tx>
            <c:strRef>
              <c:f>将来フレーム!$B$12</c:f>
              <c:strCache>
                <c:ptCount val="1"/>
                <c:pt idx="0">
                  <c:v>し尿・浄化槽収集量（日最大）（kL/日）</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val>
            <c:numRef>
              <c:f>将来フレーム!$C$12:$K$12</c:f>
              <c:numCache>
                <c:formatCode>#,##0.0;[Red]\-#,##0.0</c:formatCode>
                <c:ptCount val="9"/>
                <c:pt idx="0">
                  <c:v>19.118749999999999</c:v>
                </c:pt>
                <c:pt idx="1">
                  <c:v>19.124101333333325</c:v>
                </c:pt>
                <c:pt idx="2">
                  <c:v>19.115706333333328</c:v>
                </c:pt>
                <c:pt idx="3">
                  <c:v>19.093162499999998</c:v>
                </c:pt>
                <c:pt idx="4">
                  <c:v>19.058148833333327</c:v>
                </c:pt>
                <c:pt idx="5">
                  <c:v>18.670997499999999</c:v>
                </c:pt>
                <c:pt idx="6">
                  <c:v>17.925053833333326</c:v>
                </c:pt>
                <c:pt idx="7">
                  <c:v>16.801618833333329</c:v>
                </c:pt>
                <c:pt idx="8">
                  <c:v>15.283672499999993</c:v>
                </c:pt>
              </c:numCache>
            </c:numRef>
          </c:val>
          <c:smooth val="0"/>
          <c:extLst>
            <c:ext xmlns:c16="http://schemas.microsoft.com/office/drawing/2014/chart" uri="{C3380CC4-5D6E-409C-BE32-E72D297353CC}">
              <c16:uniqueId val="{00000003-2B78-411E-B5E3-E953CCC6655C}"/>
            </c:ext>
          </c:extLst>
        </c:ser>
        <c:dLbls>
          <c:showLegendKey val="0"/>
          <c:showVal val="0"/>
          <c:showCatName val="0"/>
          <c:showSerName val="0"/>
          <c:showPercent val="0"/>
          <c:showBubbleSize val="0"/>
        </c:dLbls>
        <c:marker val="1"/>
        <c:smooth val="0"/>
        <c:axId val="274774992"/>
        <c:axId val="274775384"/>
      </c:lineChart>
      <c:catAx>
        <c:axId val="274774992"/>
        <c:scaling>
          <c:orientation val="minMax"/>
        </c:scaling>
        <c:delete val="0"/>
        <c:axPos val="b"/>
        <c:title>
          <c:tx>
            <c:rich>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年度（年）</a:t>
                </a:r>
              </a:p>
            </c:rich>
          </c:tx>
          <c:overlay val="0"/>
          <c:spPr>
            <a:noFill/>
            <a:ln>
              <a:noFill/>
            </a:ln>
            <a:effectLst/>
          </c:spPr>
          <c:txPr>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4775384"/>
        <c:crosses val="autoZero"/>
        <c:auto val="1"/>
        <c:lblAlgn val="ctr"/>
        <c:lblOffset val="100"/>
        <c:noMultiLvlLbl val="0"/>
      </c:catAx>
      <c:valAx>
        <c:axId val="274775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人口（人）もしくは処理水量（</a:t>
                </a:r>
                <a:r>
                  <a:rPr lang="en-US" altLang="ja-JP"/>
                  <a:t>m3/</a:t>
                </a:r>
                <a:r>
                  <a:rPr lang="ja-JP" altLang="en-US"/>
                  <a:t>日）</a:t>
                </a:r>
              </a:p>
            </c:rich>
          </c:tx>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4774992"/>
        <c:crosses val="autoZero"/>
        <c:crossBetween val="between"/>
      </c:valAx>
      <c:catAx>
        <c:axId val="274775776"/>
        <c:scaling>
          <c:orientation val="minMax"/>
        </c:scaling>
        <c:delete val="1"/>
        <c:axPos val="b"/>
        <c:numFmt formatCode="General" sourceLinked="1"/>
        <c:majorTickMark val="out"/>
        <c:minorTickMark val="none"/>
        <c:tickLblPos val="nextTo"/>
        <c:crossAx val="274776168"/>
        <c:crosses val="autoZero"/>
        <c:auto val="1"/>
        <c:lblAlgn val="ctr"/>
        <c:lblOffset val="100"/>
        <c:noMultiLvlLbl val="0"/>
      </c:catAx>
      <c:valAx>
        <c:axId val="274776168"/>
        <c:scaling>
          <c:orientation val="minMax"/>
        </c:scaling>
        <c:delete val="0"/>
        <c:axPos val="r"/>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稼働率（％）</a:t>
                </a:r>
              </a:p>
            </c:rich>
          </c:tx>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4775776"/>
        <c:crosses val="max"/>
        <c:crossBetween val="between"/>
      </c:valAx>
      <c:spPr>
        <a:noFill/>
        <a:ln>
          <a:noFill/>
        </a:ln>
        <a:effectLst/>
      </c:spPr>
    </c:plotArea>
    <c:legend>
      <c:legendPos val="b"/>
      <c:layout>
        <c:manualLayout>
          <c:xMode val="edge"/>
          <c:yMode val="edge"/>
          <c:x val="6.1278652668416402E-2"/>
          <c:y val="2.3726224134239401E-2"/>
          <c:w val="0.85940901137357795"/>
          <c:h val="0.149306649168854"/>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「既存施設の更新」事業費の推移</a:t>
            </a:r>
          </a:p>
        </c:rich>
      </c:tx>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810619581643702E-2"/>
          <c:y val="0.19513837989861199"/>
          <c:w val="0.89756182420196595"/>
          <c:h val="0.71479280886635099"/>
        </c:manualLayout>
      </c:layout>
      <c:barChart>
        <c:barDir val="col"/>
        <c:grouping val="stacked"/>
        <c:varyColors val="0"/>
        <c:ser>
          <c:idx val="0"/>
          <c:order val="0"/>
          <c:tx>
            <c:strRef>
              <c:f>'経済性比較、エネルギー、GHG'!$A$20</c:f>
              <c:strCache>
                <c:ptCount val="1"/>
                <c:pt idx="0">
                  <c:v>A下水処理場維持管理費</c:v>
                </c:pt>
              </c:strCache>
            </c:strRef>
          </c:tx>
          <c:spPr>
            <a:solidFill>
              <a:schemeClr val="accent1"/>
            </a:solidFill>
            <a:ln>
              <a:noFill/>
            </a:ln>
            <a:effectLst/>
          </c:spPr>
          <c:invertIfNegative val="0"/>
          <c:cat>
            <c:numRef>
              <c:f>'経済性比較、エネルギー、GHG'!$E$11:$AC$11</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'経済性比較、エネルギー、GHG'!$E$20:$AC$20</c:f>
              <c:numCache>
                <c:formatCode>#,##0_);[Red]\(#,##0\)</c:formatCode>
                <c:ptCount val="25"/>
                <c:pt idx="0">
                  <c:v>111.1425</c:v>
                </c:pt>
                <c:pt idx="1">
                  <c:v>111.13390410620862</c:v>
                </c:pt>
                <c:pt idx="2">
                  <c:v>111.12362518041571</c:v>
                </c:pt>
                <c:pt idx="3">
                  <c:v>111.11164341638622</c:v>
                </c:pt>
                <c:pt idx="4">
                  <c:v>111.09774975779159</c:v>
                </c:pt>
                <c:pt idx="5">
                  <c:v>111.08210073073104</c:v>
                </c:pt>
                <c:pt idx="6">
                  <c:v>111.06466508050694</c:v>
                </c:pt>
                <c:pt idx="7">
                  <c:v>111.04521795579592</c:v>
                </c:pt>
                <c:pt idx="8">
                  <c:v>111.02390607957031</c:v>
                </c:pt>
                <c:pt idx="9">
                  <c:v>111.00068466227444</c:v>
                </c:pt>
                <c:pt idx="10">
                  <c:v>110.97530927151917</c:v>
                </c:pt>
                <c:pt idx="11">
                  <c:v>65.913218400000005</c:v>
                </c:pt>
                <c:pt idx="12">
                  <c:v>65.895708061141789</c:v>
                </c:pt>
                <c:pt idx="13">
                  <c:v>65.876801932363819</c:v>
                </c:pt>
                <c:pt idx="14">
                  <c:v>65.856572009586984</c:v>
                </c:pt>
                <c:pt idx="15">
                  <c:v>65.834968860583999</c:v>
                </c:pt>
                <c:pt idx="16">
                  <c:v>65.811813262410837</c:v>
                </c:pt>
                <c:pt idx="17">
                  <c:v>65.78716592946661</c:v>
                </c:pt>
                <c:pt idx="18">
                  <c:v>65.760960136394516</c:v>
                </c:pt>
                <c:pt idx="19">
                  <c:v>65.732990928458889</c:v>
                </c:pt>
                <c:pt idx="20">
                  <c:v>65.703303004569065</c:v>
                </c:pt>
                <c:pt idx="21">
                  <c:v>65.671805456455431</c:v>
                </c:pt>
                <c:pt idx="22">
                  <c:v>65.638257798559522</c:v>
                </c:pt>
                <c:pt idx="23">
                  <c:v>65.602680785948422</c:v>
                </c:pt>
                <c:pt idx="24">
                  <c:v>65.564948249034657</c:v>
                </c:pt>
              </c:numCache>
            </c:numRef>
          </c:val>
          <c:extLst>
            <c:ext xmlns:c16="http://schemas.microsoft.com/office/drawing/2014/chart" uri="{C3380CC4-5D6E-409C-BE32-E72D297353CC}">
              <c16:uniqueId val="{00000000-2E6F-4A2B-92A2-0ED71EF915B3}"/>
            </c:ext>
          </c:extLst>
        </c:ser>
        <c:ser>
          <c:idx val="1"/>
          <c:order val="1"/>
          <c:tx>
            <c:strRef>
              <c:f>'経済性比較、エネルギー、GHG'!$A$21</c:f>
              <c:strCache>
                <c:ptCount val="1"/>
                <c:pt idx="0">
                  <c:v>し尿処理施設維持管理費</c:v>
                </c:pt>
              </c:strCache>
            </c:strRef>
          </c:tx>
          <c:spPr>
            <a:solidFill>
              <a:schemeClr val="accent2"/>
            </a:solidFill>
            <a:ln>
              <a:noFill/>
            </a:ln>
            <a:effectLst/>
          </c:spPr>
          <c:invertIfNegative val="0"/>
          <c:cat>
            <c:numRef>
              <c:f>'経済性比較、エネルギー、GHG'!$E$11:$AC$11</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'経済性比較、エネルギー、GHG'!$E$21:$AC$21</c:f>
              <c:numCache>
                <c:formatCode>#,##0_);[Red]\(#,##0\)</c:formatCode>
                <c:ptCount val="25"/>
                <c:pt idx="0">
                  <c:v>109.062</c:v>
                </c:pt>
                <c:pt idx="1">
                  <c:v>109.062</c:v>
                </c:pt>
                <c:pt idx="2">
                  <c:v>109.062</c:v>
                </c:pt>
                <c:pt idx="3">
                  <c:v>109.062</c:v>
                </c:pt>
                <c:pt idx="4">
                  <c:v>109.062</c:v>
                </c:pt>
                <c:pt idx="5">
                  <c:v>98.424598036870506</c:v>
                </c:pt>
                <c:pt idx="6">
                  <c:v>98.424598036870506</c:v>
                </c:pt>
                <c:pt idx="7">
                  <c:v>98.379733690125079</c:v>
                </c:pt>
                <c:pt idx="8">
                  <c:v>98.334615580251594</c:v>
                </c:pt>
                <c:pt idx="9">
                  <c:v>98.289240701796743</c:v>
                </c:pt>
                <c:pt idx="10">
                  <c:v>98.243605994886281</c:v>
                </c:pt>
                <c:pt idx="11">
                  <c:v>98.197708343893865</c:v>
                </c:pt>
                <c:pt idx="12">
                  <c:v>98.151544576070052</c:v>
                </c:pt>
                <c:pt idx="13">
                  <c:v>98.058405704782999</c:v>
                </c:pt>
                <c:pt idx="14">
                  <c:v>98.011423957252021</c:v>
                </c:pt>
                <c:pt idx="15">
                  <c:v>97.916618757631554</c:v>
                </c:pt>
                <c:pt idx="16">
                  <c:v>97.820667748755326</c:v>
                </c:pt>
                <c:pt idx="17">
                  <c:v>97.723541729460379</c:v>
                </c:pt>
                <c:pt idx="18">
                  <c:v>97.625210352600547</c:v>
                </c:pt>
                <c:pt idx="19">
                  <c:v>97.525642063876617</c:v>
                </c:pt>
                <c:pt idx="20">
                  <c:v>97.424804036510622</c:v>
                </c:pt>
                <c:pt idx="21">
                  <c:v>97.271091105339309</c:v>
                </c:pt>
                <c:pt idx="22">
                  <c:v>97.166926120253081</c:v>
                </c:pt>
                <c:pt idx="23">
                  <c:v>97.008049418427817</c:v>
                </c:pt>
                <c:pt idx="24">
                  <c:v>96.84589723897092</c:v>
                </c:pt>
              </c:numCache>
            </c:numRef>
          </c:val>
          <c:extLst>
            <c:ext xmlns:c16="http://schemas.microsoft.com/office/drawing/2014/chart" uri="{C3380CC4-5D6E-409C-BE32-E72D297353CC}">
              <c16:uniqueId val="{00000001-2E6F-4A2B-92A2-0ED71EF915B3}"/>
            </c:ext>
          </c:extLst>
        </c:ser>
        <c:ser>
          <c:idx val="2"/>
          <c:order val="2"/>
          <c:tx>
            <c:strRef>
              <c:f>'経済性比較、エネルギー、GHG'!$A$22</c:f>
              <c:strCache>
                <c:ptCount val="1"/>
                <c:pt idx="0">
                  <c:v>A下水処理場更新費</c:v>
                </c:pt>
              </c:strCache>
            </c:strRef>
          </c:tx>
          <c:spPr>
            <a:solidFill>
              <a:schemeClr val="accent3"/>
            </a:solidFill>
            <a:ln>
              <a:noFill/>
            </a:ln>
            <a:effectLst/>
          </c:spPr>
          <c:invertIfNegative val="0"/>
          <c:cat>
            <c:numRef>
              <c:f>'経済性比較、エネルギー、GHG'!$E$11:$AC$11</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'経済性比較、エネルギー、GHG'!$E$22:$AC$22</c:f>
              <c:numCache>
                <c:formatCode>General</c:formatCode>
                <c:ptCount val="25"/>
                <c:pt idx="10">
                  <c:v>1169.1798809010888</c:v>
                </c:pt>
              </c:numCache>
            </c:numRef>
          </c:val>
          <c:extLst>
            <c:ext xmlns:c16="http://schemas.microsoft.com/office/drawing/2014/chart" uri="{C3380CC4-5D6E-409C-BE32-E72D297353CC}">
              <c16:uniqueId val="{00000002-2E6F-4A2B-92A2-0ED71EF915B3}"/>
            </c:ext>
          </c:extLst>
        </c:ser>
        <c:ser>
          <c:idx val="3"/>
          <c:order val="3"/>
          <c:tx>
            <c:strRef>
              <c:f>'経済性比較、エネルギー、GHG'!$A$23</c:f>
              <c:strCache>
                <c:ptCount val="1"/>
                <c:pt idx="0">
                  <c:v>し尿処理施設更新費</c:v>
                </c:pt>
              </c:strCache>
            </c:strRef>
          </c:tx>
          <c:spPr>
            <a:solidFill>
              <a:schemeClr val="accent4"/>
            </a:solidFill>
            <a:ln>
              <a:noFill/>
            </a:ln>
            <a:effectLst/>
          </c:spPr>
          <c:invertIfNegative val="0"/>
          <c:cat>
            <c:numRef>
              <c:f>'経済性比較、エネルギー、GHG'!$E$11:$AC$11</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'経済性比較、エネルギー、GHG'!$E$23:$AC$23</c:f>
              <c:numCache>
                <c:formatCode>General</c:formatCode>
                <c:ptCount val="25"/>
                <c:pt idx="4" formatCode="0.000">
                  <c:v>1084.5755489729602</c:v>
                </c:pt>
              </c:numCache>
            </c:numRef>
          </c:val>
          <c:extLst>
            <c:ext xmlns:c16="http://schemas.microsoft.com/office/drawing/2014/chart" uri="{C3380CC4-5D6E-409C-BE32-E72D297353CC}">
              <c16:uniqueId val="{00000003-2E6F-4A2B-92A2-0ED71EF915B3}"/>
            </c:ext>
          </c:extLst>
        </c:ser>
        <c:dLbls>
          <c:showLegendKey val="0"/>
          <c:showVal val="0"/>
          <c:showCatName val="0"/>
          <c:showSerName val="0"/>
          <c:showPercent val="0"/>
          <c:showBubbleSize val="0"/>
        </c:dLbls>
        <c:gapWidth val="150"/>
        <c:overlap val="100"/>
        <c:axId val="277716840"/>
        <c:axId val="277717232"/>
      </c:barChart>
      <c:lineChart>
        <c:grouping val="standard"/>
        <c:varyColors val="0"/>
        <c:ser>
          <c:idx val="5"/>
          <c:order val="4"/>
          <c:tx>
            <c:strRef>
              <c:f>'経済性比較、エネルギー、GHG'!$A$25</c:f>
              <c:strCache>
                <c:ptCount val="1"/>
                <c:pt idx="0">
                  <c:v>累計事業費</c:v>
                </c:pt>
              </c:strCache>
            </c:strRef>
          </c:tx>
          <c:spPr>
            <a:ln w="28575" cap="rnd">
              <a:solidFill>
                <a:schemeClr val="accent6"/>
              </a:solidFill>
              <a:round/>
            </a:ln>
            <a:effectLst/>
          </c:spPr>
          <c:marker>
            <c:symbol val="none"/>
          </c:marker>
          <c:val>
            <c:numRef>
              <c:f>'経済性比較、エネルギー、GHG'!$E$25:$AC$25</c:f>
              <c:numCache>
                <c:formatCode>#,##0_);[Red]\(#,##0\)</c:formatCode>
                <c:ptCount val="25"/>
                <c:pt idx="0">
                  <c:v>220.2045</c:v>
                </c:pt>
                <c:pt idx="1">
                  <c:v>440.40040410620861</c:v>
                </c:pt>
                <c:pt idx="2">
                  <c:v>660.58602928662435</c:v>
                </c:pt>
                <c:pt idx="3">
                  <c:v>880.75967270301055</c:v>
                </c:pt>
                <c:pt idx="4">
                  <c:v>2185.4949714337622</c:v>
                </c:pt>
                <c:pt idx="5">
                  <c:v>2395.0016702013636</c:v>
                </c:pt>
                <c:pt idx="6">
                  <c:v>2604.4909333187411</c:v>
                </c:pt>
                <c:pt idx="7">
                  <c:v>2813.9158849646619</c:v>
                </c:pt>
                <c:pt idx="8">
                  <c:v>3023.2744066244841</c:v>
                </c:pt>
                <c:pt idx="9">
                  <c:v>3232.5643319885553</c:v>
                </c:pt>
                <c:pt idx="10">
                  <c:v>4610.9631281560496</c:v>
                </c:pt>
                <c:pt idx="11">
                  <c:v>4775.0740548999438</c:v>
                </c:pt>
                <c:pt idx="12">
                  <c:v>4939.1213075371561</c:v>
                </c:pt>
                <c:pt idx="13">
                  <c:v>5103.0565151743031</c:v>
                </c:pt>
                <c:pt idx="14">
                  <c:v>5266.9245111411419</c:v>
                </c:pt>
                <c:pt idx="15">
                  <c:v>5430.676098759357</c:v>
                </c:pt>
                <c:pt idx="16">
                  <c:v>5594.3085797705235</c:v>
                </c:pt>
                <c:pt idx="17">
                  <c:v>5757.8192874294509</c:v>
                </c:pt>
                <c:pt idx="18">
                  <c:v>5921.205457918446</c:v>
                </c:pt>
                <c:pt idx="19">
                  <c:v>6084.4640909107811</c:v>
                </c:pt>
                <c:pt idx="20">
                  <c:v>6247.5921979518607</c:v>
                </c:pt>
                <c:pt idx="21">
                  <c:v>6410.5350945136552</c:v>
                </c:pt>
                <c:pt idx="22">
                  <c:v>6573.340278432468</c:v>
                </c:pt>
                <c:pt idx="23">
                  <c:v>6735.9510086368446</c:v>
                </c:pt>
                <c:pt idx="24">
                  <c:v>6898.3618541248497</c:v>
                </c:pt>
              </c:numCache>
            </c:numRef>
          </c:val>
          <c:smooth val="0"/>
          <c:extLst>
            <c:ext xmlns:c16="http://schemas.microsoft.com/office/drawing/2014/chart" uri="{C3380CC4-5D6E-409C-BE32-E72D297353CC}">
              <c16:uniqueId val="{00000004-2E6F-4A2B-92A2-0ED71EF915B3}"/>
            </c:ext>
          </c:extLst>
        </c:ser>
        <c:dLbls>
          <c:showLegendKey val="0"/>
          <c:showVal val="0"/>
          <c:showCatName val="0"/>
          <c:showSerName val="0"/>
          <c:showPercent val="0"/>
          <c:showBubbleSize val="0"/>
        </c:dLbls>
        <c:marker val="1"/>
        <c:smooth val="0"/>
        <c:axId val="277717624"/>
        <c:axId val="277718016"/>
      </c:lineChart>
      <c:catAx>
        <c:axId val="277716840"/>
        <c:scaling>
          <c:orientation val="minMax"/>
        </c:scaling>
        <c:delete val="0"/>
        <c:axPos val="b"/>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7717232"/>
        <c:crosses val="autoZero"/>
        <c:auto val="1"/>
        <c:lblAlgn val="ctr"/>
        <c:lblOffset val="100"/>
        <c:noMultiLvlLbl val="0"/>
      </c:catAx>
      <c:valAx>
        <c:axId val="277717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事業費（百万円）</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7716840"/>
        <c:crosses val="autoZero"/>
        <c:crossBetween val="between"/>
      </c:valAx>
      <c:catAx>
        <c:axId val="277717624"/>
        <c:scaling>
          <c:orientation val="minMax"/>
        </c:scaling>
        <c:delete val="1"/>
        <c:axPos val="b"/>
        <c:majorTickMark val="out"/>
        <c:minorTickMark val="none"/>
        <c:tickLblPos val="nextTo"/>
        <c:crossAx val="277718016"/>
        <c:crosses val="autoZero"/>
        <c:auto val="1"/>
        <c:lblAlgn val="ctr"/>
        <c:lblOffset val="100"/>
        <c:noMultiLvlLbl val="0"/>
      </c:catAx>
      <c:valAx>
        <c:axId val="277718016"/>
        <c:scaling>
          <c:orientation val="minMax"/>
        </c:scaling>
        <c:delete val="0"/>
        <c:axPos val="r"/>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累計事業費（百万円）</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7717624"/>
        <c:crosses val="max"/>
        <c:crossBetween val="between"/>
      </c:valAx>
      <c:spPr>
        <a:noFill/>
        <a:ln>
          <a:noFill/>
        </a:ln>
        <a:effectLst/>
      </c:spPr>
    </c:plotArea>
    <c:legend>
      <c:legendPos val="b"/>
      <c:layout>
        <c:manualLayout>
          <c:xMode val="edge"/>
          <c:yMode val="edge"/>
          <c:x val="0.221083444661408"/>
          <c:y val="0.11088814999227301"/>
          <c:w val="0.62221537496434098"/>
          <c:h val="6.5586904775749105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「処理施設の再編成」事業費の推移</a:t>
            </a:r>
          </a:p>
        </c:rich>
      </c:tx>
      <c:layout>
        <c:manualLayout>
          <c:xMode val="edge"/>
          <c:yMode val="edge"/>
          <c:x val="0.37430112663845599"/>
          <c:y val="2.87023626338502E-2"/>
        </c:manualLayout>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4788134123420602E-2"/>
          <c:y val="0.17685185185185201"/>
          <c:w val="0.89825210143809697"/>
          <c:h val="0.73484543598716801"/>
        </c:manualLayout>
      </c:layout>
      <c:barChart>
        <c:barDir val="col"/>
        <c:grouping val="stacked"/>
        <c:varyColors val="0"/>
        <c:ser>
          <c:idx val="0"/>
          <c:order val="0"/>
          <c:tx>
            <c:strRef>
              <c:f>'経済性比較、エネルギー、GHG'!$A$79</c:f>
              <c:strCache>
                <c:ptCount val="1"/>
                <c:pt idx="0">
                  <c:v>A下水処理場維持管理費</c:v>
                </c:pt>
              </c:strCache>
            </c:strRef>
          </c:tx>
          <c:spPr>
            <a:solidFill>
              <a:schemeClr val="accent1"/>
            </a:solidFill>
            <a:ln>
              <a:noFill/>
            </a:ln>
            <a:effectLst/>
          </c:spPr>
          <c:invertIfNegative val="0"/>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'経済性比較、エネルギー、GHG'!$E$79:$AC$79</c:f>
              <c:numCache>
                <c:formatCode>#,##0_);[Red]\(#,##0\)</c:formatCode>
                <c:ptCount val="25"/>
                <c:pt idx="0">
                  <c:v>111.1425</c:v>
                </c:pt>
                <c:pt idx="1">
                  <c:v>111.13390410620862</c:v>
                </c:pt>
                <c:pt idx="2">
                  <c:v>111.12362518041571</c:v>
                </c:pt>
                <c:pt idx="3">
                  <c:v>111.11164341638622</c:v>
                </c:pt>
                <c:pt idx="4">
                  <c:v>111.09774975779159</c:v>
                </c:pt>
                <c:pt idx="5">
                  <c:v>111.54833238591505</c:v>
                </c:pt>
                <c:pt idx="6">
                  <c:v>111.53374663485906</c:v>
                </c:pt>
                <c:pt idx="7">
                  <c:v>111.51487679618249</c:v>
                </c:pt>
                <c:pt idx="8">
                  <c:v>111.49443392545737</c:v>
                </c:pt>
                <c:pt idx="9">
                  <c:v>111.47238205253788</c:v>
                </c:pt>
                <c:pt idx="10">
                  <c:v>111.44851917272059</c:v>
                </c:pt>
                <c:pt idx="11">
                  <c:v>72.754530200000005</c:v>
                </c:pt>
                <c:pt idx="12">
                  <c:v>72.736703810567292</c:v>
                </c:pt>
                <c:pt idx="13">
                  <c:v>72.715783031323028</c:v>
                </c:pt>
                <c:pt idx="14">
                  <c:v>72.695440961040518</c:v>
                </c:pt>
                <c:pt idx="15">
                  <c:v>72.671984261150087</c:v>
                </c:pt>
                <c:pt idx="16">
                  <c:v>72.647061229299752</c:v>
                </c:pt>
                <c:pt idx="17">
                  <c:v>72.620727440359929</c:v>
                </c:pt>
                <c:pt idx="18">
                  <c:v>72.592922402625902</c:v>
                </c:pt>
                <c:pt idx="19">
                  <c:v>72.563460095216172</c:v>
                </c:pt>
                <c:pt idx="20">
                  <c:v>72.532383255437111</c:v>
                </c:pt>
                <c:pt idx="21">
                  <c:v>72.497552244931612</c:v>
                </c:pt>
                <c:pt idx="22">
                  <c:v>72.462828171778312</c:v>
                </c:pt>
                <c:pt idx="23">
                  <c:v>72.424064723654254</c:v>
                </c:pt>
                <c:pt idx="24">
                  <c:v>72.383201689638852</c:v>
                </c:pt>
              </c:numCache>
            </c:numRef>
          </c:val>
          <c:extLst>
            <c:ext xmlns:c16="http://schemas.microsoft.com/office/drawing/2014/chart" uri="{C3380CC4-5D6E-409C-BE32-E72D297353CC}">
              <c16:uniqueId val="{00000000-E2CA-4D41-8B0F-FDA0B4F8B2C8}"/>
            </c:ext>
          </c:extLst>
        </c:ser>
        <c:ser>
          <c:idx val="1"/>
          <c:order val="1"/>
          <c:tx>
            <c:strRef>
              <c:f>'経済性比較、エネルギー、GHG'!$A$80</c:f>
              <c:strCache>
                <c:ptCount val="1"/>
                <c:pt idx="0">
                  <c:v>し尿処理施設維持管理費</c:v>
                </c:pt>
              </c:strCache>
            </c:strRef>
          </c:tx>
          <c:spPr>
            <a:solidFill>
              <a:schemeClr val="accent2"/>
            </a:solidFill>
            <a:ln>
              <a:noFill/>
            </a:ln>
            <a:effectLst/>
          </c:spPr>
          <c:invertIfNegative val="0"/>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'経済性比較、エネルギー、GHG'!$E$80:$AC$80</c:f>
              <c:numCache>
                <c:formatCode>#,##0_);[Red]\(#,##0\)</c:formatCode>
                <c:ptCount val="25"/>
                <c:pt idx="0">
                  <c:v>109.062</c:v>
                </c:pt>
                <c:pt idx="1">
                  <c:v>109.062</c:v>
                </c:pt>
                <c:pt idx="2">
                  <c:v>109.062</c:v>
                </c:pt>
                <c:pt idx="3">
                  <c:v>109.062</c:v>
                </c:pt>
                <c:pt idx="4">
                  <c:v>109.062</c:v>
                </c:pt>
                <c:pt idx="5">
                  <c:v>15.043467852703564</c:v>
                </c:pt>
                <c:pt idx="6">
                  <c:v>15.043467852703564</c:v>
                </c:pt>
                <c:pt idx="7">
                  <c:v>15.03661067094759</c:v>
                </c:pt>
                <c:pt idx="8">
                  <c:v>15.029714703384665</c:v>
                </c:pt>
                <c:pt idx="9">
                  <c:v>15.022779490653589</c:v>
                </c:pt>
                <c:pt idx="10">
                  <c:v>15.015804565075353</c:v>
                </c:pt>
                <c:pt idx="11">
                  <c:v>15.008789450449637</c:v>
                </c:pt>
                <c:pt idx="12">
                  <c:v>15.001733661845273</c:v>
                </c:pt>
                <c:pt idx="13">
                  <c:v>14.987498078017754</c:v>
                </c:pt>
                <c:pt idx="14">
                  <c:v>14.980317267298251</c:v>
                </c:pt>
                <c:pt idx="15">
                  <c:v>14.965826997577002</c:v>
                </c:pt>
                <c:pt idx="16">
                  <c:v>14.951161599432087</c:v>
                </c:pt>
                <c:pt idx="17">
                  <c:v>14.936316609682905</c:v>
                </c:pt>
                <c:pt idx="18">
                  <c:v>14.921287389993852</c:v>
                </c:pt>
                <c:pt idx="19">
                  <c:v>14.906069117524948</c:v>
                </c:pt>
                <c:pt idx="20">
                  <c:v>14.890656774947313</c:v>
                </c:pt>
                <c:pt idx="21">
                  <c:v>14.867162896539455</c:v>
                </c:pt>
                <c:pt idx="22">
                  <c:v>14.851242053215975</c:v>
                </c:pt>
                <c:pt idx="23">
                  <c:v>14.826958930865226</c:v>
                </c:pt>
                <c:pt idx="24">
                  <c:v>14.802175176117336</c:v>
                </c:pt>
              </c:numCache>
            </c:numRef>
          </c:val>
          <c:extLst>
            <c:ext xmlns:c16="http://schemas.microsoft.com/office/drawing/2014/chart" uri="{C3380CC4-5D6E-409C-BE32-E72D297353CC}">
              <c16:uniqueId val="{00000001-E2CA-4D41-8B0F-FDA0B4F8B2C8}"/>
            </c:ext>
          </c:extLst>
        </c:ser>
        <c:ser>
          <c:idx val="2"/>
          <c:order val="2"/>
          <c:tx>
            <c:strRef>
              <c:f>'経済性比較、エネルギー、GHG'!$A$81</c:f>
              <c:strCache>
                <c:ptCount val="1"/>
                <c:pt idx="0">
                  <c:v>A下水処理場更新費</c:v>
                </c:pt>
              </c:strCache>
            </c:strRef>
          </c:tx>
          <c:spPr>
            <a:solidFill>
              <a:schemeClr val="accent3"/>
            </a:solidFill>
            <a:ln>
              <a:noFill/>
            </a:ln>
            <a:effectLst/>
          </c:spPr>
          <c:invertIfNegative val="0"/>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'経済性比較、エネルギー、GHG'!$E$81:$AC$81</c:f>
              <c:numCache>
                <c:formatCode>General</c:formatCode>
                <c:ptCount val="25"/>
                <c:pt idx="10" formatCode="#,##0_);[Red]\(#,##0\)">
                  <c:v>1244.8371041328062</c:v>
                </c:pt>
              </c:numCache>
            </c:numRef>
          </c:val>
          <c:extLst>
            <c:ext xmlns:c16="http://schemas.microsoft.com/office/drawing/2014/chart" uri="{C3380CC4-5D6E-409C-BE32-E72D297353CC}">
              <c16:uniqueId val="{00000002-E2CA-4D41-8B0F-FDA0B4F8B2C8}"/>
            </c:ext>
          </c:extLst>
        </c:ser>
        <c:ser>
          <c:idx val="3"/>
          <c:order val="3"/>
          <c:tx>
            <c:strRef>
              <c:f>'経済性比較、エネルギー、GHG'!$A$82</c:f>
              <c:strCache>
                <c:ptCount val="1"/>
                <c:pt idx="0">
                  <c:v>前処理施設新設費</c:v>
                </c:pt>
              </c:strCache>
            </c:strRef>
          </c:tx>
          <c:spPr>
            <a:solidFill>
              <a:schemeClr val="accent4"/>
            </a:solidFill>
            <a:ln>
              <a:noFill/>
            </a:ln>
            <a:effectLst/>
          </c:spPr>
          <c:invertIfNegative val="0"/>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'経済性比較、エネルギー、GHG'!$E$82:$AC$82</c:f>
              <c:numCache>
                <c:formatCode>General</c:formatCode>
                <c:ptCount val="25"/>
                <c:pt idx="4" formatCode="#,##0_);[Red]\(#,##0\)">
                  <c:v>923.99317585844767</c:v>
                </c:pt>
              </c:numCache>
            </c:numRef>
          </c:val>
          <c:extLst>
            <c:ext xmlns:c16="http://schemas.microsoft.com/office/drawing/2014/chart" uri="{C3380CC4-5D6E-409C-BE32-E72D297353CC}">
              <c16:uniqueId val="{00000003-E2CA-4D41-8B0F-FDA0B4F8B2C8}"/>
            </c:ext>
          </c:extLst>
        </c:ser>
        <c:ser>
          <c:idx val="4"/>
          <c:order val="4"/>
          <c:tx>
            <c:strRef>
              <c:f>'経済性比較、エネルギー、GHG'!$A$83</c:f>
              <c:strCache>
                <c:ptCount val="1"/>
                <c:pt idx="0">
                  <c:v>希釈水料金</c:v>
                </c:pt>
              </c:strCache>
            </c:strRef>
          </c:tx>
          <c:spPr>
            <a:solidFill>
              <a:schemeClr val="accent5"/>
            </a:solidFill>
            <a:ln>
              <a:noFill/>
            </a:ln>
            <a:effectLst/>
          </c:spPr>
          <c:invertIfNegative val="0"/>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extLst xmlns:c15="http://schemas.microsoft.com/office/drawing/2012/chart"/>
            </c:numRef>
          </c:cat>
          <c:val>
            <c:numRef>
              <c:f>'経済性比較、エネルギー、GHG'!$E$83:$AC$83</c:f>
              <c:numCache>
                <c:formatCode>General</c:formatCode>
                <c:ptCount val="25"/>
                <c:pt idx="5" formatCode="#,##0_);[Red]\(#,##0\)">
                  <c:v>84.917249999999996</c:v>
                </c:pt>
                <c:pt idx="6" formatCode="#,##0_);[Red]\(#,##0\)">
                  <c:v>84.917249999999996</c:v>
                </c:pt>
                <c:pt idx="7" formatCode="#,##0_);[Red]\(#,##0\)">
                  <c:v>84.402600000000007</c:v>
                </c:pt>
                <c:pt idx="8" formatCode="#,##0_);[Red]\(#,##0\)">
                  <c:v>83.887950000000018</c:v>
                </c:pt>
                <c:pt idx="9" formatCode="#,##0_);[Red]\(#,##0\)">
                  <c:v>83.373299999999986</c:v>
                </c:pt>
                <c:pt idx="10" formatCode="#,##0_);[Red]\(#,##0\)">
                  <c:v>82.858649999999997</c:v>
                </c:pt>
                <c:pt idx="11" formatCode="#,##0_);[Red]\(#,##0\)">
                  <c:v>82.343999999999994</c:v>
                </c:pt>
                <c:pt idx="12" formatCode="#,##0_);[Red]\(#,##0\)">
                  <c:v>81.829350000000019</c:v>
                </c:pt>
                <c:pt idx="13" formatCode="#,##0_);[Red]\(#,##0\)">
                  <c:v>80.800049999999985</c:v>
                </c:pt>
                <c:pt idx="14" formatCode="#,##0_);[Red]\(#,##0\)">
                  <c:v>80.285399999999981</c:v>
                </c:pt>
                <c:pt idx="15" formatCode="#,##0_);[Red]\(#,##0\)">
                  <c:v>79.256100000000018</c:v>
                </c:pt>
                <c:pt idx="16" formatCode="#,##0_);[Red]\(#,##0\)">
                  <c:v>78.226799999999983</c:v>
                </c:pt>
                <c:pt idx="17" formatCode="#,##0_);[Red]\(#,##0\)">
                  <c:v>77.197500000000005</c:v>
                </c:pt>
                <c:pt idx="18" formatCode="#,##0_);[Red]\(#,##0\)">
                  <c:v>76.168200000000013</c:v>
                </c:pt>
                <c:pt idx="19" formatCode="#,##0_);[Red]\(#,##0\)">
                  <c:v>75.138899999999978</c:v>
                </c:pt>
                <c:pt idx="20" formatCode="#,##0_);[Red]\(#,##0\)">
                  <c:v>74.109600000000015</c:v>
                </c:pt>
                <c:pt idx="21" formatCode="#,##0_);[Red]\(#,##0\)">
                  <c:v>72.565649999999991</c:v>
                </c:pt>
                <c:pt idx="22" formatCode="#,##0_);[Red]\(#,##0\)">
                  <c:v>71.536350000000013</c:v>
                </c:pt>
                <c:pt idx="23" formatCode="#,##0_);[Red]\(#,##0\)">
                  <c:v>69.992399999999989</c:v>
                </c:pt>
                <c:pt idx="24" formatCode="#,##0_);[Red]\(#,##0\)">
                  <c:v>68.448450000000008</c:v>
                </c:pt>
              </c:numCache>
              <c:extLst xmlns:c15="http://schemas.microsoft.com/office/drawing/2012/chart"/>
            </c:numRef>
          </c:val>
          <c:extLst xmlns:c15="http://schemas.microsoft.com/office/drawing/2012/chart">
            <c:ext xmlns:c16="http://schemas.microsoft.com/office/drawing/2014/chart" uri="{C3380CC4-5D6E-409C-BE32-E72D297353CC}">
              <c16:uniqueId val="{00000004-E2CA-4D41-8B0F-FDA0B4F8B2C8}"/>
            </c:ext>
          </c:extLst>
        </c:ser>
        <c:dLbls>
          <c:showLegendKey val="0"/>
          <c:showVal val="0"/>
          <c:showCatName val="0"/>
          <c:showSerName val="0"/>
          <c:showPercent val="0"/>
          <c:showBubbleSize val="0"/>
        </c:dLbls>
        <c:gapWidth val="150"/>
        <c:overlap val="100"/>
        <c:axId val="277718800"/>
        <c:axId val="277719192"/>
        <c:extLst/>
      </c:barChart>
      <c:lineChart>
        <c:grouping val="standard"/>
        <c:varyColors val="0"/>
        <c:ser>
          <c:idx val="6"/>
          <c:order val="5"/>
          <c:tx>
            <c:strRef>
              <c:f>'経済性比較、エネルギー、GHG'!$A$85</c:f>
              <c:strCache>
                <c:ptCount val="1"/>
                <c:pt idx="0">
                  <c:v>累計事業費</c:v>
                </c:pt>
              </c:strCache>
            </c:strRef>
          </c:tx>
          <c:spPr>
            <a:ln w="28575" cap="rnd">
              <a:solidFill>
                <a:schemeClr val="accent1">
                  <a:lumMod val="60000"/>
                </a:schemeClr>
              </a:solidFill>
              <a:round/>
            </a:ln>
            <a:effectLst/>
          </c:spPr>
          <c:marker>
            <c:symbol val="none"/>
          </c:marker>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'経済性比較、エネルギー、GHG'!$E$85:$AC$85</c:f>
              <c:numCache>
                <c:formatCode>#,##0_);[Red]\(#,##0\)</c:formatCode>
                <c:ptCount val="25"/>
                <c:pt idx="0">
                  <c:v>220.2045</c:v>
                </c:pt>
                <c:pt idx="1">
                  <c:v>440.40040410620861</c:v>
                </c:pt>
                <c:pt idx="2">
                  <c:v>660.58602928662435</c:v>
                </c:pt>
                <c:pt idx="3">
                  <c:v>880.75967270301055</c:v>
                </c:pt>
                <c:pt idx="4">
                  <c:v>2024.9125983192498</c:v>
                </c:pt>
                <c:pt idx="5">
                  <c:v>2236.4216485578686</c:v>
                </c:pt>
                <c:pt idx="6">
                  <c:v>2447.9161130454313</c:v>
                </c:pt>
                <c:pt idx="7">
                  <c:v>2658.8702005125615</c:v>
                </c:pt>
                <c:pt idx="8">
                  <c:v>2869.2822991414037</c:v>
                </c:pt>
                <c:pt idx="9">
                  <c:v>3079.1507606845953</c:v>
                </c:pt>
                <c:pt idx="10">
                  <c:v>4533.3108385551968</c:v>
                </c:pt>
                <c:pt idx="11">
                  <c:v>4703.4181582056463</c:v>
                </c:pt>
                <c:pt idx="12">
                  <c:v>4872.9859456780587</c:v>
                </c:pt>
                <c:pt idx="13">
                  <c:v>5041.4892767873998</c:v>
                </c:pt>
                <c:pt idx="14">
                  <c:v>5209.4504350157385</c:v>
                </c:pt>
                <c:pt idx="15">
                  <c:v>5376.3443462744654</c:v>
                </c:pt>
                <c:pt idx="16">
                  <c:v>5542.1693691031969</c:v>
                </c:pt>
                <c:pt idx="17">
                  <c:v>5706.9239131532395</c:v>
                </c:pt>
                <c:pt idx="18">
                  <c:v>5870.6063229458596</c:v>
                </c:pt>
                <c:pt idx="19">
                  <c:v>6033.2147521586003</c:v>
                </c:pt>
                <c:pt idx="20">
                  <c:v>6194.747392188985</c:v>
                </c:pt>
                <c:pt idx="21">
                  <c:v>6354.6777573304562</c:v>
                </c:pt>
                <c:pt idx="22">
                  <c:v>6513.5281775554504</c:v>
                </c:pt>
                <c:pt idx="23">
                  <c:v>6670.77160120997</c:v>
                </c:pt>
                <c:pt idx="24">
                  <c:v>6826.4054280757264</c:v>
                </c:pt>
              </c:numCache>
            </c:numRef>
          </c:val>
          <c:smooth val="0"/>
          <c:extLst>
            <c:ext xmlns:c16="http://schemas.microsoft.com/office/drawing/2014/chart" uri="{C3380CC4-5D6E-409C-BE32-E72D297353CC}">
              <c16:uniqueId val="{00000005-E2CA-4D41-8B0F-FDA0B4F8B2C8}"/>
            </c:ext>
          </c:extLst>
        </c:ser>
        <c:dLbls>
          <c:showLegendKey val="0"/>
          <c:showVal val="0"/>
          <c:showCatName val="0"/>
          <c:showSerName val="0"/>
          <c:showPercent val="0"/>
          <c:showBubbleSize val="0"/>
        </c:dLbls>
        <c:marker val="1"/>
        <c:smooth val="0"/>
        <c:axId val="277719584"/>
        <c:axId val="277719976"/>
      </c:lineChart>
      <c:catAx>
        <c:axId val="277718800"/>
        <c:scaling>
          <c:orientation val="minMax"/>
        </c:scaling>
        <c:delete val="0"/>
        <c:axPos val="b"/>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7719192"/>
        <c:crosses val="autoZero"/>
        <c:auto val="1"/>
        <c:lblAlgn val="ctr"/>
        <c:lblOffset val="100"/>
        <c:noMultiLvlLbl val="0"/>
      </c:catAx>
      <c:valAx>
        <c:axId val="277719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事業費</a:t>
                </a:r>
              </a:p>
            </c:rich>
          </c:tx>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7718800"/>
        <c:crosses val="autoZero"/>
        <c:crossBetween val="between"/>
      </c:valAx>
      <c:catAx>
        <c:axId val="277719584"/>
        <c:scaling>
          <c:orientation val="minMax"/>
        </c:scaling>
        <c:delete val="1"/>
        <c:axPos val="b"/>
        <c:numFmt formatCode="#,##0_);[Red]\(#,##0\)" sourceLinked="1"/>
        <c:majorTickMark val="out"/>
        <c:minorTickMark val="none"/>
        <c:tickLblPos val="nextTo"/>
        <c:crossAx val="277719976"/>
        <c:crosses val="autoZero"/>
        <c:auto val="1"/>
        <c:lblAlgn val="ctr"/>
        <c:lblOffset val="100"/>
        <c:noMultiLvlLbl val="0"/>
      </c:catAx>
      <c:valAx>
        <c:axId val="277719976"/>
        <c:scaling>
          <c:orientation val="minMax"/>
        </c:scaling>
        <c:delete val="0"/>
        <c:axPos val="r"/>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累計事業費</a:t>
                </a:r>
              </a:p>
            </c:rich>
          </c:tx>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7719584"/>
        <c:crosses val="max"/>
        <c:crossBetween val="between"/>
      </c:valAx>
      <c:spPr>
        <a:noFill/>
        <a:ln>
          <a:noFill/>
        </a:ln>
        <a:effectLst/>
      </c:spPr>
    </c:plotArea>
    <c:legend>
      <c:legendPos val="b"/>
      <c:layout>
        <c:manualLayout>
          <c:xMode val="edge"/>
          <c:yMode val="edge"/>
          <c:x val="9.0765533070026105E-2"/>
          <c:y val="0.11516039661709"/>
          <c:w val="0.85379676230297274"/>
          <c:h val="6.7867749186305198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「既存施設の能力活用」事業費の推移</a:t>
            </a:r>
          </a:p>
        </c:rich>
      </c:tx>
      <c:layout>
        <c:manualLayout>
          <c:xMode val="edge"/>
          <c:yMode val="edge"/>
          <c:x val="0.37430112663845599"/>
          <c:y val="2.87023626338502E-2"/>
        </c:manualLayout>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4788134123420602E-2"/>
          <c:y val="0.17685185185185201"/>
          <c:w val="0.89825210143809697"/>
          <c:h val="0.73484543598716801"/>
        </c:manualLayout>
      </c:layout>
      <c:barChart>
        <c:barDir val="col"/>
        <c:grouping val="stacked"/>
        <c:varyColors val="0"/>
        <c:ser>
          <c:idx val="0"/>
          <c:order val="0"/>
          <c:tx>
            <c:strRef>
              <c:f>'経済性比較、エネルギー、GHG'!$A$134</c:f>
              <c:strCache>
                <c:ptCount val="1"/>
                <c:pt idx="0">
                  <c:v>A下水処理場維持管理費</c:v>
                </c:pt>
              </c:strCache>
            </c:strRef>
          </c:tx>
          <c:spPr>
            <a:solidFill>
              <a:schemeClr val="accent1"/>
            </a:solidFill>
            <a:ln>
              <a:noFill/>
            </a:ln>
            <a:effectLst/>
          </c:spPr>
          <c:invertIfNegative val="0"/>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'経済性比較、エネルギー、GHG'!$E$134:$AC$134</c:f>
              <c:numCache>
                <c:formatCode>#,##0_);[Red]\(#,##0\)</c:formatCode>
                <c:ptCount val="25"/>
                <c:pt idx="0">
                  <c:v>111.1425</c:v>
                </c:pt>
                <c:pt idx="1">
                  <c:v>111.13390410620862</c:v>
                </c:pt>
                <c:pt idx="2">
                  <c:v>111.12362518041571</c:v>
                </c:pt>
                <c:pt idx="3">
                  <c:v>111.11164341638622</c:v>
                </c:pt>
                <c:pt idx="4">
                  <c:v>111.09774975779159</c:v>
                </c:pt>
                <c:pt idx="5">
                  <c:v>131.08210073073104</c:v>
                </c:pt>
                <c:pt idx="6">
                  <c:v>131.06466508050693</c:v>
                </c:pt>
                <c:pt idx="7">
                  <c:v>131.04521795579592</c:v>
                </c:pt>
                <c:pt idx="8">
                  <c:v>130.02390607957031</c:v>
                </c:pt>
                <c:pt idx="9">
                  <c:v>130.00068466227444</c:v>
                </c:pt>
                <c:pt idx="10">
                  <c:v>129.97530927151917</c:v>
                </c:pt>
                <c:pt idx="11">
                  <c:v>82.913218400000005</c:v>
                </c:pt>
                <c:pt idx="12">
                  <c:v>82.895708061141789</c:v>
                </c:pt>
                <c:pt idx="13">
                  <c:v>82.876801932363819</c:v>
                </c:pt>
                <c:pt idx="14">
                  <c:v>82.856572009586984</c:v>
                </c:pt>
                <c:pt idx="15">
                  <c:v>82.834968860583999</c:v>
                </c:pt>
                <c:pt idx="16">
                  <c:v>81.811813262410837</c:v>
                </c:pt>
                <c:pt idx="17">
                  <c:v>81.78716592946661</c:v>
                </c:pt>
                <c:pt idx="18">
                  <c:v>81.760960136394516</c:v>
                </c:pt>
                <c:pt idx="19">
                  <c:v>81.732990928458889</c:v>
                </c:pt>
                <c:pt idx="20">
                  <c:v>81.703303004569065</c:v>
                </c:pt>
                <c:pt idx="21">
                  <c:v>81.671805456455431</c:v>
                </c:pt>
                <c:pt idx="22">
                  <c:v>81.638257798559522</c:v>
                </c:pt>
                <c:pt idx="23">
                  <c:v>81.602680785948422</c:v>
                </c:pt>
                <c:pt idx="24">
                  <c:v>81.564948249034657</c:v>
                </c:pt>
              </c:numCache>
            </c:numRef>
          </c:val>
          <c:extLst>
            <c:ext xmlns:c16="http://schemas.microsoft.com/office/drawing/2014/chart" uri="{C3380CC4-5D6E-409C-BE32-E72D297353CC}">
              <c16:uniqueId val="{00000000-7592-45E1-8319-772C7DF7E6F2}"/>
            </c:ext>
          </c:extLst>
        </c:ser>
        <c:ser>
          <c:idx val="1"/>
          <c:order val="1"/>
          <c:tx>
            <c:strRef>
              <c:f>'経済性比較、エネルギー、GHG'!$A$135</c:f>
              <c:strCache>
                <c:ptCount val="1"/>
                <c:pt idx="0">
                  <c:v>し尿処理施設維持管理費</c:v>
                </c:pt>
              </c:strCache>
            </c:strRef>
          </c:tx>
          <c:spPr>
            <a:solidFill>
              <a:schemeClr val="accent2"/>
            </a:solidFill>
            <a:ln>
              <a:noFill/>
            </a:ln>
            <a:effectLst/>
          </c:spPr>
          <c:invertIfNegative val="0"/>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'経済性比較、エネルギー、GHG'!$E$135:$AC$135</c:f>
              <c:numCache>
                <c:formatCode>#,##0_);[Red]\(#,##0\)</c:formatCode>
                <c:ptCount val="25"/>
                <c:pt idx="0">
                  <c:v>109.062</c:v>
                </c:pt>
                <c:pt idx="1">
                  <c:v>109.062</c:v>
                </c:pt>
                <c:pt idx="2">
                  <c:v>109.062</c:v>
                </c:pt>
                <c:pt idx="3">
                  <c:v>109.062</c:v>
                </c:pt>
                <c:pt idx="4">
                  <c:v>109.062</c:v>
                </c:pt>
                <c:pt idx="5">
                  <c:v>15.043467852703564</c:v>
                </c:pt>
                <c:pt idx="6">
                  <c:v>15.043467852703564</c:v>
                </c:pt>
                <c:pt idx="7">
                  <c:v>15.03661067094759</c:v>
                </c:pt>
                <c:pt idx="8">
                  <c:v>15.029714703384665</c:v>
                </c:pt>
                <c:pt idx="9">
                  <c:v>15.022779490653589</c:v>
                </c:pt>
                <c:pt idx="10">
                  <c:v>15.015804565075353</c:v>
                </c:pt>
                <c:pt idx="11">
                  <c:v>15.008789450449637</c:v>
                </c:pt>
                <c:pt idx="12">
                  <c:v>15.001733661845273</c:v>
                </c:pt>
                <c:pt idx="13">
                  <c:v>14.987498078017754</c:v>
                </c:pt>
                <c:pt idx="14">
                  <c:v>14.980317267298251</c:v>
                </c:pt>
                <c:pt idx="15">
                  <c:v>14.965826997577002</c:v>
                </c:pt>
                <c:pt idx="16">
                  <c:v>14.951161599432087</c:v>
                </c:pt>
                <c:pt idx="17">
                  <c:v>14.936316609682905</c:v>
                </c:pt>
                <c:pt idx="18">
                  <c:v>14.921287389993852</c:v>
                </c:pt>
                <c:pt idx="19">
                  <c:v>14.906069117524948</c:v>
                </c:pt>
                <c:pt idx="20">
                  <c:v>14.890656774947313</c:v>
                </c:pt>
                <c:pt idx="21">
                  <c:v>14.867162896539455</c:v>
                </c:pt>
                <c:pt idx="22">
                  <c:v>14.851242053215975</c:v>
                </c:pt>
                <c:pt idx="23">
                  <c:v>14.826958930865226</c:v>
                </c:pt>
                <c:pt idx="24">
                  <c:v>14.802175176117336</c:v>
                </c:pt>
              </c:numCache>
            </c:numRef>
          </c:val>
          <c:extLst>
            <c:ext xmlns:c16="http://schemas.microsoft.com/office/drawing/2014/chart" uri="{C3380CC4-5D6E-409C-BE32-E72D297353CC}">
              <c16:uniqueId val="{00000001-7592-45E1-8319-772C7DF7E6F2}"/>
            </c:ext>
          </c:extLst>
        </c:ser>
        <c:ser>
          <c:idx val="2"/>
          <c:order val="2"/>
          <c:tx>
            <c:strRef>
              <c:f>'経済性比較、エネルギー、GHG'!$A$136</c:f>
              <c:strCache>
                <c:ptCount val="1"/>
                <c:pt idx="0">
                  <c:v>A下水処理場更新費</c:v>
                </c:pt>
              </c:strCache>
            </c:strRef>
          </c:tx>
          <c:spPr>
            <a:solidFill>
              <a:schemeClr val="accent3"/>
            </a:solidFill>
            <a:ln>
              <a:noFill/>
            </a:ln>
            <a:effectLst/>
          </c:spPr>
          <c:invertIfNegative val="0"/>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'経済性比較、エネルギー、GHG'!$E$136:$AC$136</c:f>
              <c:numCache>
                <c:formatCode>General</c:formatCode>
                <c:ptCount val="25"/>
                <c:pt idx="10">
                  <c:v>1278.4462777268004</c:v>
                </c:pt>
              </c:numCache>
            </c:numRef>
          </c:val>
          <c:extLst>
            <c:ext xmlns:c16="http://schemas.microsoft.com/office/drawing/2014/chart" uri="{C3380CC4-5D6E-409C-BE32-E72D297353CC}">
              <c16:uniqueId val="{00000002-7592-45E1-8319-772C7DF7E6F2}"/>
            </c:ext>
          </c:extLst>
        </c:ser>
        <c:ser>
          <c:idx val="3"/>
          <c:order val="3"/>
          <c:tx>
            <c:strRef>
              <c:f>'経済性比較、エネルギー、GHG'!$A$137</c:f>
              <c:strCache>
                <c:ptCount val="1"/>
                <c:pt idx="0">
                  <c:v>し尿処理施設更新費</c:v>
                </c:pt>
              </c:strCache>
            </c:strRef>
          </c:tx>
          <c:spPr>
            <a:solidFill>
              <a:schemeClr val="accent4"/>
            </a:solidFill>
            <a:ln>
              <a:noFill/>
            </a:ln>
            <a:effectLst/>
          </c:spPr>
          <c:invertIfNegative val="0"/>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'経済性比較、エネルギー、GHG'!$E$137:$AC$137</c:f>
              <c:numCache>
                <c:formatCode>General</c:formatCode>
                <c:ptCount val="25"/>
                <c:pt idx="4" formatCode="0">
                  <c:v>439.30843224107065</c:v>
                </c:pt>
              </c:numCache>
            </c:numRef>
          </c:val>
          <c:extLst>
            <c:ext xmlns:c16="http://schemas.microsoft.com/office/drawing/2014/chart" uri="{C3380CC4-5D6E-409C-BE32-E72D297353CC}">
              <c16:uniqueId val="{00000003-7592-45E1-8319-772C7DF7E6F2}"/>
            </c:ext>
          </c:extLst>
        </c:ser>
        <c:dLbls>
          <c:showLegendKey val="0"/>
          <c:showVal val="0"/>
          <c:showCatName val="0"/>
          <c:showSerName val="0"/>
          <c:showPercent val="0"/>
          <c:showBubbleSize val="0"/>
        </c:dLbls>
        <c:gapWidth val="150"/>
        <c:overlap val="100"/>
        <c:axId val="277721152"/>
        <c:axId val="277721544"/>
      </c:barChart>
      <c:lineChart>
        <c:grouping val="standard"/>
        <c:varyColors val="0"/>
        <c:ser>
          <c:idx val="6"/>
          <c:order val="4"/>
          <c:tx>
            <c:strRef>
              <c:f>'経済性比較、エネルギー、GHG'!$A$139</c:f>
              <c:strCache>
                <c:ptCount val="1"/>
                <c:pt idx="0">
                  <c:v>累計事業費</c:v>
                </c:pt>
              </c:strCache>
            </c:strRef>
          </c:tx>
          <c:spPr>
            <a:ln w="28575" cap="rnd">
              <a:solidFill>
                <a:schemeClr val="accent1">
                  <a:lumMod val="60000"/>
                </a:schemeClr>
              </a:solidFill>
              <a:round/>
            </a:ln>
            <a:effectLst/>
          </c:spPr>
          <c:marker>
            <c:symbol val="none"/>
          </c:marker>
          <c:cat>
            <c:numRef>
              <c:f>'経済性比較、エネルギー、GHG'!$E$63:$AC$63</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'経済性比較、エネルギー、GHG'!$E$139:$AC$139</c:f>
              <c:numCache>
                <c:formatCode>#,##0_);[Red]\(#,##0\)</c:formatCode>
                <c:ptCount val="25"/>
                <c:pt idx="0">
                  <c:v>220.2045</c:v>
                </c:pt>
                <c:pt idx="1">
                  <c:v>440.40040410620861</c:v>
                </c:pt>
                <c:pt idx="2">
                  <c:v>660.58602928662435</c:v>
                </c:pt>
                <c:pt idx="3">
                  <c:v>880.75967270301055</c:v>
                </c:pt>
                <c:pt idx="4">
                  <c:v>1540.2278547018727</c:v>
                </c:pt>
                <c:pt idx="5">
                  <c:v>1686.3534232853074</c:v>
                </c:pt>
                <c:pt idx="6">
                  <c:v>1832.4615562185179</c:v>
                </c:pt>
                <c:pt idx="7">
                  <c:v>1978.5433848452615</c:v>
                </c:pt>
                <c:pt idx="8">
                  <c:v>2123.5970056282163</c:v>
                </c:pt>
                <c:pt idx="9">
                  <c:v>2268.6204697811445</c:v>
                </c:pt>
                <c:pt idx="10">
                  <c:v>3692.0578613445396</c:v>
                </c:pt>
                <c:pt idx="11">
                  <c:v>3789.9798691949891</c:v>
                </c:pt>
                <c:pt idx="12">
                  <c:v>3887.877310917976</c:v>
                </c:pt>
                <c:pt idx="13">
                  <c:v>3985.7416109283577</c:v>
                </c:pt>
                <c:pt idx="14">
                  <c:v>4083.578500205243</c:v>
                </c:pt>
                <c:pt idx="15">
                  <c:v>4181.3792960634037</c:v>
                </c:pt>
                <c:pt idx="16">
                  <c:v>4278.1422709252465</c:v>
                </c:pt>
                <c:pt idx="17">
                  <c:v>4374.8657534643962</c:v>
                </c:pt>
                <c:pt idx="18">
                  <c:v>4471.5480009907842</c:v>
                </c:pt>
                <c:pt idx="19">
                  <c:v>4568.1870610367678</c:v>
                </c:pt>
                <c:pt idx="20">
                  <c:v>4664.7810208162846</c:v>
                </c:pt>
                <c:pt idx="21">
                  <c:v>4761.3199891692793</c:v>
                </c:pt>
                <c:pt idx="22">
                  <c:v>4857.809489021055</c:v>
                </c:pt>
                <c:pt idx="23">
                  <c:v>4954.2391287378687</c:v>
                </c:pt>
                <c:pt idx="24">
                  <c:v>5050.6062521630211</c:v>
                </c:pt>
              </c:numCache>
            </c:numRef>
          </c:val>
          <c:smooth val="0"/>
          <c:extLst>
            <c:ext xmlns:c16="http://schemas.microsoft.com/office/drawing/2014/chart" uri="{C3380CC4-5D6E-409C-BE32-E72D297353CC}">
              <c16:uniqueId val="{00000004-7592-45E1-8319-772C7DF7E6F2}"/>
            </c:ext>
          </c:extLst>
        </c:ser>
        <c:dLbls>
          <c:showLegendKey val="0"/>
          <c:showVal val="0"/>
          <c:showCatName val="0"/>
          <c:showSerName val="0"/>
          <c:showPercent val="0"/>
          <c:showBubbleSize val="0"/>
        </c:dLbls>
        <c:marker val="1"/>
        <c:smooth val="0"/>
        <c:axId val="277721936"/>
        <c:axId val="277722328"/>
      </c:lineChart>
      <c:catAx>
        <c:axId val="277721152"/>
        <c:scaling>
          <c:orientation val="minMax"/>
        </c:scaling>
        <c:delete val="0"/>
        <c:axPos val="b"/>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7721544"/>
        <c:crosses val="autoZero"/>
        <c:auto val="1"/>
        <c:lblAlgn val="ctr"/>
        <c:lblOffset val="100"/>
        <c:noMultiLvlLbl val="0"/>
      </c:catAx>
      <c:valAx>
        <c:axId val="2777215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事業費</a:t>
                </a:r>
              </a:p>
            </c:rich>
          </c:tx>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7721152"/>
        <c:crosses val="autoZero"/>
        <c:crossBetween val="between"/>
      </c:valAx>
      <c:catAx>
        <c:axId val="277721936"/>
        <c:scaling>
          <c:orientation val="minMax"/>
        </c:scaling>
        <c:delete val="1"/>
        <c:axPos val="b"/>
        <c:numFmt formatCode="#,##0_);[Red]\(#,##0\)" sourceLinked="1"/>
        <c:majorTickMark val="out"/>
        <c:minorTickMark val="none"/>
        <c:tickLblPos val="nextTo"/>
        <c:crossAx val="277722328"/>
        <c:crosses val="autoZero"/>
        <c:auto val="1"/>
        <c:lblAlgn val="ctr"/>
        <c:lblOffset val="100"/>
        <c:noMultiLvlLbl val="0"/>
      </c:catAx>
      <c:valAx>
        <c:axId val="277722328"/>
        <c:scaling>
          <c:orientation val="minMax"/>
        </c:scaling>
        <c:delete val="0"/>
        <c:axPos val="r"/>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累計事業費</a:t>
                </a:r>
              </a:p>
            </c:rich>
          </c:tx>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77721936"/>
        <c:crosses val="max"/>
        <c:crossBetween val="between"/>
      </c:valAx>
      <c:spPr>
        <a:noFill/>
        <a:ln>
          <a:noFill/>
        </a:ln>
        <a:effectLst/>
      </c:spPr>
    </c:plotArea>
    <c:legend>
      <c:legendPos val="b"/>
      <c:layout>
        <c:manualLayout>
          <c:xMode val="edge"/>
          <c:yMode val="edge"/>
          <c:x val="9.0765533070026105E-2"/>
          <c:y val="0.11516039661709"/>
          <c:w val="0.71481942363739603"/>
          <c:h val="6.7867749186305198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r>
              <a:rPr lang="ja-JP"/>
              <a:t>温室効果ガスの排出量</a:t>
            </a:r>
            <a:r>
              <a:rPr lang="ja-JP" altLang="en-US"/>
              <a:t>［</a:t>
            </a:r>
            <a:r>
              <a:rPr lang="ja-JP"/>
              <a:t>ｔ</a:t>
            </a:r>
            <a:r>
              <a:rPr lang="en-US"/>
              <a:t>-CO2</a:t>
            </a:r>
            <a:r>
              <a:rPr lang="ja-JP" altLang="en-US"/>
              <a:t>］</a:t>
            </a:r>
            <a:endParaRPr lang="ja-JP"/>
          </a:p>
        </c:rich>
      </c:tx>
      <c:overlay val="0"/>
      <c:spPr>
        <a:noFill/>
        <a:ln>
          <a:noFill/>
        </a:ln>
        <a:effectLst/>
      </c:spPr>
      <c:txPr>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endParaRPr lang="ja-JP"/>
        </a:p>
      </c:txPr>
    </c:title>
    <c:autoTitleDeleted val="0"/>
    <c:plotArea>
      <c:layout/>
      <c:barChart>
        <c:barDir val="col"/>
        <c:grouping val="clustered"/>
        <c:varyColors val="0"/>
        <c:ser>
          <c:idx val="1"/>
          <c:order val="0"/>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1600" b="1" i="0" u="none" strike="noStrike" kern="1200" baseline="0">
                    <a:solidFill>
                      <a:schemeClr val="lt1"/>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'経済性比較、エネルギー、GHG'!$C$230:$C$232</c:f>
              <c:strCache>
                <c:ptCount val="3"/>
                <c:pt idx="0">
                  <c:v>既存施設の更新</c:v>
                </c:pt>
                <c:pt idx="1">
                  <c:v>処理施設の再編成</c:v>
                </c:pt>
                <c:pt idx="2">
                  <c:v>既存施設の能力活用</c:v>
                </c:pt>
              </c:strCache>
            </c:strRef>
          </c:cat>
          <c:val>
            <c:numRef>
              <c:f>'経済性比較、エネルギー、GHG'!$AD$230:$AD$232</c:f>
              <c:numCache>
                <c:formatCode>#,##0_);[Red]\(#,##0\)</c:formatCode>
                <c:ptCount val="3"/>
                <c:pt idx="0">
                  <c:v>19370.453087513437</c:v>
                </c:pt>
                <c:pt idx="1">
                  <c:v>16417.947158801126</c:v>
                </c:pt>
                <c:pt idx="2">
                  <c:v>14941.423924187317</c:v>
                </c:pt>
              </c:numCache>
            </c:numRef>
          </c:val>
          <c:extLst>
            <c:ext xmlns:c16="http://schemas.microsoft.com/office/drawing/2014/chart" uri="{C3380CC4-5D6E-409C-BE32-E72D297353CC}">
              <c16:uniqueId val="{00000000-239F-4D0D-99A1-0CA4D42D46D9}"/>
            </c:ext>
          </c:extLst>
        </c:ser>
        <c:dLbls>
          <c:showLegendKey val="0"/>
          <c:showVal val="1"/>
          <c:showCatName val="0"/>
          <c:showSerName val="0"/>
          <c:showPercent val="0"/>
          <c:showBubbleSize val="0"/>
        </c:dLbls>
        <c:gapWidth val="41"/>
        <c:axId val="277723112"/>
        <c:axId val="277723504"/>
      </c:barChart>
      <c:catAx>
        <c:axId val="27772311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dk1">
                    <a:lumMod val="65000"/>
                    <a:lumOff val="35000"/>
                  </a:schemeClr>
                </a:solidFill>
                <a:effectLst/>
                <a:latin typeface="+mn-lt"/>
                <a:ea typeface="+mn-ea"/>
                <a:cs typeface="+mn-cs"/>
              </a:defRPr>
            </a:pPr>
            <a:endParaRPr lang="ja-JP"/>
          </a:p>
        </c:txPr>
        <c:crossAx val="277723504"/>
        <c:crosses val="autoZero"/>
        <c:auto val="1"/>
        <c:lblAlgn val="ctr"/>
        <c:lblOffset val="100"/>
        <c:noMultiLvlLbl val="0"/>
      </c:catAx>
      <c:valAx>
        <c:axId val="277723504"/>
        <c:scaling>
          <c:orientation val="minMax"/>
          <c:min val="0"/>
        </c:scaling>
        <c:delete val="1"/>
        <c:axPos val="l"/>
        <c:numFmt formatCode="#,##0_);[Red]\(#,##0\)" sourceLinked="0"/>
        <c:majorTickMark val="none"/>
        <c:minorTickMark val="none"/>
        <c:tickLblPos val="nextTo"/>
        <c:crossAx val="27772311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r>
              <a:rPr lang="ja-JP" altLang="en-US"/>
              <a:t>消費電力量［千</a:t>
            </a:r>
            <a:r>
              <a:rPr lang="en-US" altLang="ja-JP"/>
              <a:t>kWh</a:t>
            </a:r>
            <a:r>
              <a:rPr lang="ja-JP" altLang="en-US"/>
              <a:t>］</a:t>
            </a:r>
            <a:endParaRPr lang="ja-JP"/>
          </a:p>
        </c:rich>
      </c:tx>
      <c:overlay val="0"/>
      <c:spPr>
        <a:noFill/>
        <a:ln>
          <a:noFill/>
        </a:ln>
        <a:effectLst/>
      </c:spPr>
      <c:txPr>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endParaRPr lang="ja-JP"/>
        </a:p>
      </c:txPr>
    </c:title>
    <c:autoTitleDeleted val="0"/>
    <c:plotArea>
      <c:layout/>
      <c:barChart>
        <c:barDir val="col"/>
        <c:grouping val="clustered"/>
        <c:varyColors val="0"/>
        <c:ser>
          <c:idx val="1"/>
          <c:order val="0"/>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1600" b="1" i="0" u="none" strike="noStrike" kern="1200" baseline="0">
                    <a:solidFill>
                      <a:schemeClr val="lt1"/>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'経済性比較、エネルギー、GHG'!$C$215:$C$217</c:f>
              <c:strCache>
                <c:ptCount val="3"/>
                <c:pt idx="0">
                  <c:v>既存施設の更新</c:v>
                </c:pt>
                <c:pt idx="1">
                  <c:v>処理施設の再編成</c:v>
                </c:pt>
                <c:pt idx="2">
                  <c:v>既存施設の能力活用</c:v>
                </c:pt>
              </c:strCache>
            </c:strRef>
          </c:cat>
          <c:val>
            <c:numRef>
              <c:f>'経済性比較、エネルギー、GHG'!$AD$215:$AD$217</c:f>
              <c:numCache>
                <c:formatCode>#,##0_);[Red]\(#,##0\)</c:formatCode>
                <c:ptCount val="3"/>
                <c:pt idx="0">
                  <c:v>35236.313936876446</c:v>
                </c:pt>
                <c:pt idx="1">
                  <c:v>28759.3263406564</c:v>
                </c:pt>
                <c:pt idx="2">
                  <c:v>26401.291537125155</c:v>
                </c:pt>
              </c:numCache>
            </c:numRef>
          </c:val>
          <c:extLst>
            <c:ext xmlns:c16="http://schemas.microsoft.com/office/drawing/2014/chart" uri="{C3380CC4-5D6E-409C-BE32-E72D297353CC}">
              <c16:uniqueId val="{00000000-E596-4577-B445-E700C06B4D2D}"/>
            </c:ext>
          </c:extLst>
        </c:ser>
        <c:dLbls>
          <c:showLegendKey val="0"/>
          <c:showVal val="1"/>
          <c:showCatName val="0"/>
          <c:showSerName val="0"/>
          <c:showPercent val="0"/>
          <c:showBubbleSize val="0"/>
        </c:dLbls>
        <c:gapWidth val="41"/>
        <c:axId val="277724288"/>
        <c:axId val="315754440"/>
      </c:barChart>
      <c:catAx>
        <c:axId val="2777242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dk1">
                    <a:lumMod val="65000"/>
                    <a:lumOff val="35000"/>
                  </a:schemeClr>
                </a:solidFill>
                <a:effectLst/>
                <a:latin typeface="+mn-lt"/>
                <a:ea typeface="+mn-ea"/>
                <a:cs typeface="+mn-cs"/>
              </a:defRPr>
            </a:pPr>
            <a:endParaRPr lang="ja-JP"/>
          </a:p>
        </c:txPr>
        <c:crossAx val="315754440"/>
        <c:crosses val="autoZero"/>
        <c:auto val="1"/>
        <c:lblAlgn val="ctr"/>
        <c:lblOffset val="100"/>
        <c:noMultiLvlLbl val="0"/>
      </c:catAx>
      <c:valAx>
        <c:axId val="315754440"/>
        <c:scaling>
          <c:orientation val="minMax"/>
          <c:min val="0"/>
        </c:scaling>
        <c:delete val="1"/>
        <c:axPos val="l"/>
        <c:numFmt formatCode="#,##0_);[Red]\(#,##0\)" sourceLinked="0"/>
        <c:majorTickMark val="none"/>
        <c:minorTickMark val="none"/>
        <c:tickLblPos val="nextTo"/>
        <c:crossAx val="277724288"/>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r>
              <a:rPr lang="ja-JP" altLang="en-US"/>
              <a:t>消費エネルギー量［千</a:t>
            </a:r>
            <a:r>
              <a:rPr lang="en-US" altLang="ja-JP"/>
              <a:t>MJ</a:t>
            </a:r>
            <a:r>
              <a:rPr lang="ja-JP" altLang="en-US"/>
              <a:t>］</a:t>
            </a:r>
            <a:endParaRPr lang="ja-JP"/>
          </a:p>
        </c:rich>
      </c:tx>
      <c:overlay val="0"/>
      <c:spPr>
        <a:noFill/>
        <a:ln>
          <a:noFill/>
        </a:ln>
        <a:effectLst/>
      </c:spPr>
      <c:txPr>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endParaRPr lang="ja-JP"/>
        </a:p>
      </c:txPr>
    </c:title>
    <c:autoTitleDeleted val="0"/>
    <c:plotArea>
      <c:layout/>
      <c:barChart>
        <c:barDir val="col"/>
        <c:grouping val="clustered"/>
        <c:varyColors val="0"/>
        <c:ser>
          <c:idx val="1"/>
          <c:order val="0"/>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1600" b="1" i="0" u="none" strike="noStrike" kern="1200" baseline="0">
                    <a:solidFill>
                      <a:schemeClr val="lt1"/>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'経済性比較、エネルギー、GHG'!$C$218:$C$220</c:f>
              <c:strCache>
                <c:ptCount val="3"/>
                <c:pt idx="0">
                  <c:v>既存施設の更新</c:v>
                </c:pt>
                <c:pt idx="1">
                  <c:v>処理施設の再編成</c:v>
                </c:pt>
                <c:pt idx="2">
                  <c:v>既存施設の能力活用</c:v>
                </c:pt>
              </c:strCache>
            </c:strRef>
          </c:cat>
          <c:val>
            <c:numRef>
              <c:f>'経済性比較、エネルギー、GHG'!$AD$218:$AD$220</c:f>
              <c:numCache>
                <c:formatCode>#,##0_);[Red]\(#,##0\)</c:formatCode>
                <c:ptCount val="3"/>
                <c:pt idx="0">
                  <c:v>126850.73017275525</c:v>
                </c:pt>
                <c:pt idx="1">
                  <c:v>103533.57482636302</c:v>
                </c:pt>
                <c:pt idx="2">
                  <c:v>95044.649533650547</c:v>
                </c:pt>
              </c:numCache>
            </c:numRef>
          </c:val>
          <c:extLst>
            <c:ext xmlns:c16="http://schemas.microsoft.com/office/drawing/2014/chart" uri="{C3380CC4-5D6E-409C-BE32-E72D297353CC}">
              <c16:uniqueId val="{00000000-E5CF-4B44-9EBB-967A4813801A}"/>
            </c:ext>
          </c:extLst>
        </c:ser>
        <c:dLbls>
          <c:showLegendKey val="0"/>
          <c:showVal val="1"/>
          <c:showCatName val="0"/>
          <c:showSerName val="0"/>
          <c:showPercent val="0"/>
          <c:showBubbleSize val="0"/>
        </c:dLbls>
        <c:gapWidth val="41"/>
        <c:axId val="315755224"/>
        <c:axId val="315755616"/>
      </c:barChart>
      <c:catAx>
        <c:axId val="3157552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dk1">
                    <a:lumMod val="65000"/>
                    <a:lumOff val="35000"/>
                  </a:schemeClr>
                </a:solidFill>
                <a:effectLst/>
                <a:latin typeface="+mn-lt"/>
                <a:ea typeface="+mn-ea"/>
                <a:cs typeface="+mn-cs"/>
              </a:defRPr>
            </a:pPr>
            <a:endParaRPr lang="ja-JP"/>
          </a:p>
        </c:txPr>
        <c:crossAx val="315755616"/>
        <c:crosses val="autoZero"/>
        <c:auto val="1"/>
        <c:lblAlgn val="ctr"/>
        <c:lblOffset val="100"/>
        <c:noMultiLvlLbl val="0"/>
      </c:catAx>
      <c:valAx>
        <c:axId val="315755616"/>
        <c:scaling>
          <c:orientation val="minMax"/>
          <c:min val="0"/>
        </c:scaling>
        <c:delete val="1"/>
        <c:axPos val="l"/>
        <c:numFmt formatCode="#,##0_);[Red]\(#,##0\)" sourceLinked="0"/>
        <c:majorTickMark val="none"/>
        <c:minorTickMark val="none"/>
        <c:tickLblPos val="nextTo"/>
        <c:crossAx val="31575522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136071</xdr:colOff>
      <xdr:row>4</xdr:row>
      <xdr:rowOff>97970</xdr:rowOff>
    </xdr:from>
    <xdr:to>
      <xdr:col>10</xdr:col>
      <xdr:colOff>421821</xdr:colOff>
      <xdr:row>20</xdr:row>
      <xdr:rowOff>149678</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17</xdr:row>
      <xdr:rowOff>161925</xdr:rowOff>
    </xdr:from>
    <xdr:to>
      <xdr:col>7</xdr:col>
      <xdr:colOff>0</xdr:colOff>
      <xdr:row>33</xdr:row>
      <xdr:rowOff>161925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593912</xdr:colOff>
      <xdr:row>17</xdr:row>
      <xdr:rowOff>358589</xdr:rowOff>
    </xdr:from>
    <xdr:to>
      <xdr:col>16</xdr:col>
      <xdr:colOff>537881</xdr:colOff>
      <xdr:row>33</xdr:row>
      <xdr:rowOff>22412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60033</xdr:colOff>
      <xdr:row>33</xdr:row>
      <xdr:rowOff>130949</xdr:rowOff>
    </xdr:from>
    <xdr:to>
      <xdr:col>23</xdr:col>
      <xdr:colOff>235325</xdr:colOff>
      <xdr:row>53</xdr:row>
      <xdr:rowOff>28014</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31816</xdr:colOff>
      <xdr:row>95</xdr:row>
      <xdr:rowOff>152999</xdr:rowOff>
    </xdr:from>
    <xdr:to>
      <xdr:col>17</xdr:col>
      <xdr:colOff>216712</xdr:colOff>
      <xdr:row>114</xdr:row>
      <xdr:rowOff>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203306</xdr:colOff>
      <xdr:row>150</xdr:row>
      <xdr:rowOff>133189</xdr:rowOff>
    </xdr:from>
    <xdr:to>
      <xdr:col>17</xdr:col>
      <xdr:colOff>388202</xdr:colOff>
      <xdr:row>174</xdr:row>
      <xdr:rowOff>108857</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312964</xdr:colOff>
      <xdr:row>232</xdr:row>
      <xdr:rowOff>123586</xdr:rowOff>
    </xdr:from>
    <xdr:to>
      <xdr:col>30</xdr:col>
      <xdr:colOff>54429</xdr:colOff>
      <xdr:row>249</xdr:row>
      <xdr:rowOff>482</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942907</xdr:colOff>
      <xdr:row>232</xdr:row>
      <xdr:rowOff>155281</xdr:rowOff>
    </xdr:from>
    <xdr:to>
      <xdr:col>8</xdr:col>
      <xdr:colOff>612321</xdr:colOff>
      <xdr:row>249</xdr:row>
      <xdr:rowOff>32177</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92528</xdr:colOff>
      <xdr:row>232</xdr:row>
      <xdr:rowOff>144074</xdr:rowOff>
    </xdr:from>
    <xdr:to>
      <xdr:col>19</xdr:col>
      <xdr:colOff>326571</xdr:colOff>
      <xdr:row>249</xdr:row>
      <xdr:rowOff>20970</xdr:rowOff>
    </xdr:to>
    <xdr:graphicFrame macro="">
      <xdr:nvGraphicFramePr>
        <xdr:cNvPr id="19"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tabSelected="1" workbookViewId="0"/>
  </sheetViews>
  <sheetFormatPr defaultColWidth="9" defaultRowHeight="13.5" x14ac:dyDescent="0.15"/>
  <cols>
    <col min="2" max="2" width="25.625" customWidth="1"/>
    <col min="3" max="3" width="9" style="97"/>
  </cols>
  <sheetData>
    <row r="2" spans="2:4" x14ac:dyDescent="0.15">
      <c r="B2" s="242" t="s">
        <v>0</v>
      </c>
      <c r="C2" s="29" t="s">
        <v>1</v>
      </c>
      <c r="D2" s="242" t="s">
        <v>2</v>
      </c>
    </row>
    <row r="3" spans="2:4" x14ac:dyDescent="0.15">
      <c r="B3" s="169" t="s">
        <v>3</v>
      </c>
      <c r="C3" s="21">
        <v>120</v>
      </c>
      <c r="D3" s="4" t="s">
        <v>4</v>
      </c>
    </row>
    <row r="4" spans="2:4" x14ac:dyDescent="0.15">
      <c r="B4" s="169" t="s">
        <v>5</v>
      </c>
      <c r="C4" s="21">
        <v>21500</v>
      </c>
      <c r="D4" s="4" t="s">
        <v>6</v>
      </c>
    </row>
    <row r="5" spans="2:4" x14ac:dyDescent="0.15">
      <c r="B5" s="169" t="s">
        <v>7</v>
      </c>
      <c r="C5" s="31">
        <v>1</v>
      </c>
      <c r="D5" s="5" t="s">
        <v>8</v>
      </c>
    </row>
    <row r="6" spans="2:4" x14ac:dyDescent="0.15">
      <c r="B6" s="4" t="s">
        <v>9</v>
      </c>
      <c r="C6" s="21">
        <f>+C4*C7</f>
        <v>17200</v>
      </c>
      <c r="D6" s="4" t="s">
        <v>6</v>
      </c>
    </row>
    <row r="7" spans="2:4" x14ac:dyDescent="0.15">
      <c r="B7" s="4" t="s">
        <v>10</v>
      </c>
      <c r="C7" s="202">
        <v>0.8</v>
      </c>
      <c r="D7" s="5" t="s">
        <v>8</v>
      </c>
    </row>
    <row r="28" spans="3:3" x14ac:dyDescent="0.15">
      <c r="C28"/>
    </row>
  </sheetData>
  <phoneticPr fontId="26"/>
  <pageMargins left="0.69930555555555596" right="0.69930555555555596"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8"/>
  <sheetViews>
    <sheetView showGridLines="0" zoomScale="85" zoomScaleNormal="85" workbookViewId="0">
      <selection activeCell="C42" sqref="C42"/>
    </sheetView>
  </sheetViews>
  <sheetFormatPr defaultColWidth="9" defaultRowHeight="13.5" x14ac:dyDescent="0.15"/>
  <cols>
    <col min="1" max="1" width="7.125" customWidth="1"/>
    <col min="2" max="2" width="35.125" customWidth="1"/>
    <col min="7" max="11" width="9" customWidth="1"/>
  </cols>
  <sheetData>
    <row r="2" spans="1:15" ht="14.25" thickBot="1" x14ac:dyDescent="0.2">
      <c r="A2" s="306" t="s">
        <v>11</v>
      </c>
      <c r="B2" s="307"/>
      <c r="C2" s="173" t="str">
        <f>'整備の現状、人口見通し'!E11</f>
        <v>1（現在）</v>
      </c>
      <c r="D2" s="173">
        <f>'整備の現状、人口見通し'!F11</f>
        <v>2</v>
      </c>
      <c r="E2" s="173">
        <f>'整備の現状、人口見通し'!G11</f>
        <v>3</v>
      </c>
      <c r="F2" s="173">
        <f>'整備の現状、人口見通し'!H11</f>
        <v>4</v>
      </c>
      <c r="G2" s="173">
        <f>'整備の現状、人口見通し'!I11</f>
        <v>5</v>
      </c>
      <c r="H2" s="173">
        <f>'整備の現状、人口見通し'!N11</f>
        <v>10</v>
      </c>
      <c r="I2" s="173">
        <f>'整備の現状、人口見通し'!S11</f>
        <v>15</v>
      </c>
      <c r="J2" s="173">
        <f>'整備の現状、人口見通し'!X11</f>
        <v>20</v>
      </c>
      <c r="K2" s="173">
        <f>'整備の現状、人口見通し'!AC11</f>
        <v>25</v>
      </c>
    </row>
    <row r="3" spans="1:15" ht="13.5" customHeight="1" thickTop="1" x14ac:dyDescent="0.15">
      <c r="A3" s="308" t="s">
        <v>115</v>
      </c>
      <c r="B3" s="309"/>
      <c r="C3" s="174"/>
      <c r="D3" s="174"/>
      <c r="E3" s="174"/>
      <c r="F3" s="174"/>
      <c r="G3" s="174"/>
      <c r="H3" s="174"/>
      <c r="I3" s="174"/>
      <c r="J3" s="174"/>
      <c r="K3" s="174"/>
    </row>
    <row r="4" spans="1:15" ht="15" customHeight="1" x14ac:dyDescent="0.15">
      <c r="A4" s="310" t="s">
        <v>116</v>
      </c>
      <c r="B4" s="175" t="s">
        <v>117</v>
      </c>
      <c r="C4" s="176">
        <f>'整備の現状、人口見通し'!E14</f>
        <v>14000</v>
      </c>
      <c r="D4" s="176">
        <f>'整備の現状、人口見通し'!F14</f>
        <v>13953</v>
      </c>
      <c r="E4" s="176">
        <f>'整備の現状、人口見通し'!G14</f>
        <v>13897</v>
      </c>
      <c r="F4" s="176">
        <f>'整備の現状、人口見通し'!H14</f>
        <v>13832</v>
      </c>
      <c r="G4" s="176">
        <f>'整備の現状、人口見通し'!I14</f>
        <v>13757</v>
      </c>
      <c r="H4" s="176">
        <f>'整備の現状、人口見通し'!N14</f>
        <v>13244</v>
      </c>
      <c r="I4" s="176">
        <f>'整備の現状、人口見通し'!S14</f>
        <v>12497</v>
      </c>
      <c r="J4" s="176">
        <f>'整備の現状、人口見通し'!X14</f>
        <v>11517</v>
      </c>
      <c r="K4" s="176">
        <f>'整備の現状、人口見通し'!AC14</f>
        <v>10304</v>
      </c>
      <c r="M4" s="141" t="s">
        <v>118</v>
      </c>
      <c r="N4" s="141">
        <v>180</v>
      </c>
      <c r="O4" t="s">
        <v>119</v>
      </c>
    </row>
    <row r="5" spans="1:15" ht="15" customHeight="1" x14ac:dyDescent="0.15">
      <c r="A5" s="311"/>
      <c r="B5" s="50" t="s">
        <v>120</v>
      </c>
      <c r="C5" s="176">
        <f>'整備の現状、人口見通し'!E15</f>
        <v>7500</v>
      </c>
      <c r="D5" s="176">
        <f>'整備の現状、人口見通し'!F15</f>
        <v>7475.3333333333321</v>
      </c>
      <c r="E5" s="176">
        <f>'整備の現状、人口見通し'!G15</f>
        <v>7445.3333333333321</v>
      </c>
      <c r="F5" s="176">
        <f>'整備の現状、人口見通し'!H15</f>
        <v>7410</v>
      </c>
      <c r="G5" s="176">
        <f>'整備の現状、人口見通し'!I15</f>
        <v>7370.3333333333321</v>
      </c>
      <c r="H5" s="176">
        <f>'整備の現状、人口見通し'!N15</f>
        <v>7095</v>
      </c>
      <c r="I5" s="176">
        <f>'整備の現状、人口見通し'!S15</f>
        <v>6695.3333333333321</v>
      </c>
      <c r="J5" s="176">
        <f>'整備の現状、人口見通し'!X15</f>
        <v>6170.3333333333321</v>
      </c>
      <c r="K5" s="176">
        <f>'整備の現状、人口見通し'!AC15</f>
        <v>5519.9999999999982</v>
      </c>
      <c r="M5" s="141" t="s">
        <v>121</v>
      </c>
      <c r="N5" s="141">
        <v>95</v>
      </c>
      <c r="O5" t="s">
        <v>8</v>
      </c>
    </row>
    <row r="6" spans="1:15" ht="15" customHeight="1" x14ac:dyDescent="0.15">
      <c r="A6" s="312" t="s">
        <v>123</v>
      </c>
      <c r="B6" s="167" t="s">
        <v>124</v>
      </c>
      <c r="C6" s="177">
        <f>流入水量!D3</f>
        <v>4060</v>
      </c>
      <c r="D6" s="177">
        <f>流入水量!E3</f>
        <v>4046.37</v>
      </c>
      <c r="E6" s="177">
        <f>流入水量!F3</f>
        <v>4030.13</v>
      </c>
      <c r="F6" s="177">
        <f>流入水量!G3</f>
        <v>4011.28</v>
      </c>
      <c r="G6" s="177">
        <f>流入水量!H3</f>
        <v>3989.53</v>
      </c>
      <c r="H6" s="177">
        <f>流入水量!M3</f>
        <v>3840.76</v>
      </c>
      <c r="I6" s="177">
        <f>流入水量!R3</f>
        <v>3624.13</v>
      </c>
      <c r="J6" s="177">
        <f>流入水量!W3</f>
        <v>3339.93</v>
      </c>
      <c r="K6" s="177">
        <f>流入水量!AB3</f>
        <v>2988.16</v>
      </c>
      <c r="M6" s="141"/>
      <c r="N6" s="141">
        <v>75</v>
      </c>
      <c r="O6" t="s">
        <v>8</v>
      </c>
    </row>
    <row r="7" spans="1:15" ht="15" customHeight="1" x14ac:dyDescent="0.15">
      <c r="A7" s="313"/>
      <c r="B7" s="167" t="s">
        <v>125</v>
      </c>
      <c r="C7" s="177">
        <f>+C6/0.7</f>
        <v>5800</v>
      </c>
      <c r="D7" s="177">
        <f t="shared" ref="D7:K7" si="0">+D6/0.7</f>
        <v>5780.5285714285719</v>
      </c>
      <c r="E7" s="177">
        <f t="shared" si="0"/>
        <v>5757.3285714285721</v>
      </c>
      <c r="F7" s="177">
        <f t="shared" si="0"/>
        <v>5730.4000000000005</v>
      </c>
      <c r="G7" s="177">
        <f t="shared" si="0"/>
        <v>5699.3285714285721</v>
      </c>
      <c r="H7" s="177">
        <f t="shared" si="0"/>
        <v>5486.8000000000011</v>
      </c>
      <c r="I7" s="177">
        <f t="shared" si="0"/>
        <v>5177.3285714285721</v>
      </c>
      <c r="J7" s="177">
        <f t="shared" si="0"/>
        <v>4771.3285714285712</v>
      </c>
      <c r="K7" s="177">
        <f t="shared" si="0"/>
        <v>4268.8</v>
      </c>
      <c r="M7" s="141" t="s">
        <v>126</v>
      </c>
      <c r="N7" s="141">
        <v>1</v>
      </c>
      <c r="O7" t="s">
        <v>8</v>
      </c>
    </row>
    <row r="8" spans="1:15" ht="15" customHeight="1" x14ac:dyDescent="0.15">
      <c r="A8" s="313"/>
      <c r="B8" s="222" t="s">
        <v>296</v>
      </c>
      <c r="C8" s="178">
        <f>流入水量!D4</f>
        <v>16.625</v>
      </c>
      <c r="D8" s="178">
        <f>流入水量!E4</f>
        <v>16.629653333333327</v>
      </c>
      <c r="E8" s="178">
        <f>流入水量!F4</f>
        <v>16.622353333333329</v>
      </c>
      <c r="F8" s="178">
        <f>流入水量!G4</f>
        <v>16.60275</v>
      </c>
      <c r="G8" s="178">
        <f>流入水量!H4</f>
        <v>16.57230333333333</v>
      </c>
      <c r="H8" s="178">
        <f>流入水量!M4</f>
        <v>16.23565</v>
      </c>
      <c r="I8" s="178">
        <f>流入水量!R4</f>
        <v>15.587003333333328</v>
      </c>
      <c r="J8" s="178">
        <f>流入水量!W4</f>
        <v>14.610103333333331</v>
      </c>
      <c r="K8" s="178">
        <f>流入水量!AB4</f>
        <v>13.290149999999995</v>
      </c>
      <c r="M8" s="141"/>
      <c r="N8" s="141">
        <v>0.75</v>
      </c>
      <c r="O8" t="s">
        <v>8</v>
      </c>
    </row>
    <row r="9" spans="1:15" ht="15" customHeight="1" x14ac:dyDescent="0.15">
      <c r="A9" s="313"/>
      <c r="B9" s="223" t="s">
        <v>297</v>
      </c>
      <c r="C9" s="224">
        <f>流入水量!D5</f>
        <v>10.44</v>
      </c>
      <c r="D9" s="224">
        <f>流入水量!E5</f>
        <v>10.573109999999998</v>
      </c>
      <c r="E9" s="224">
        <f>流入水量!F5</f>
        <v>10.69839</v>
      </c>
      <c r="F9" s="224">
        <f>流入水量!G5</f>
        <v>10.813229999999999</v>
      </c>
      <c r="G9" s="224">
        <f>流入水量!H5</f>
        <v>10.92024</v>
      </c>
      <c r="H9" s="224">
        <f>流入水量!M5</f>
        <v>11.30913</v>
      </c>
      <c r="I9" s="224">
        <f>流入水量!R5</f>
        <v>11.423969999999999</v>
      </c>
      <c r="J9" s="224">
        <f>流入水量!W5</f>
        <v>11.22039</v>
      </c>
      <c r="K9" s="224">
        <f>流入水量!AB5</f>
        <v>10.65663</v>
      </c>
      <c r="M9" s="141"/>
      <c r="N9" s="141"/>
    </row>
    <row r="10" spans="1:15" ht="15" customHeight="1" x14ac:dyDescent="0.15">
      <c r="A10" s="313"/>
      <c r="B10" s="223" t="s">
        <v>298</v>
      </c>
      <c r="C10" s="224">
        <f>流入水量!D6</f>
        <v>1.6650000000000003</v>
      </c>
      <c r="D10" s="224">
        <f>流入水量!E6</f>
        <v>1.6239300000000001</v>
      </c>
      <c r="E10" s="224">
        <f>流入水量!F6</f>
        <v>1.5817500000000002</v>
      </c>
      <c r="F10" s="224">
        <f>流入水量!G6</f>
        <v>1.5384599999999999</v>
      </c>
      <c r="G10" s="224">
        <f>流入水量!H6</f>
        <v>1.4951700000000001</v>
      </c>
      <c r="H10" s="224">
        <f>流入水量!M6</f>
        <v>1.2698400000000001</v>
      </c>
      <c r="I10" s="224">
        <f>流入水量!R6</f>
        <v>1.0389600000000001</v>
      </c>
      <c r="J10" s="224">
        <f>流入水量!W6</f>
        <v>0.81030000000000002</v>
      </c>
      <c r="K10" s="224">
        <f>流入水量!AB6</f>
        <v>0.59274000000000004</v>
      </c>
      <c r="M10" s="141"/>
      <c r="N10" s="141"/>
    </row>
    <row r="11" spans="1:15" ht="15" customHeight="1" x14ac:dyDescent="0.15">
      <c r="A11" s="313"/>
      <c r="B11" s="223" t="s">
        <v>299</v>
      </c>
      <c r="C11" s="224">
        <f>流入水量!D7</f>
        <v>4.5199999999999996</v>
      </c>
      <c r="D11" s="224">
        <f>流入水量!E7</f>
        <v>4.4326133333333297</v>
      </c>
      <c r="E11" s="224">
        <f>流入水量!F7</f>
        <v>4.3422133333333308</v>
      </c>
      <c r="F11" s="224">
        <f>流入水量!G7</f>
        <v>4.2510599999999998</v>
      </c>
      <c r="G11" s="224">
        <f>流入水量!H7</f>
        <v>4.15689333333333</v>
      </c>
      <c r="H11" s="224">
        <f>流入水量!M7</f>
        <v>3.6566799999999997</v>
      </c>
      <c r="I11" s="224">
        <f>流入水量!R7</f>
        <v>3.1240733333333299</v>
      </c>
      <c r="J11" s="224">
        <f>流入水量!W7</f>
        <v>2.5794133333333304</v>
      </c>
      <c r="K11" s="224">
        <f>流入水量!AB7</f>
        <v>2.0407799999999958</v>
      </c>
      <c r="M11" s="141"/>
      <c r="N11" s="141"/>
    </row>
    <row r="12" spans="1:15" ht="15" customHeight="1" x14ac:dyDescent="0.15">
      <c r="A12" s="313"/>
      <c r="B12" s="167" t="s">
        <v>127</v>
      </c>
      <c r="C12" s="178">
        <f>+C8*1.15</f>
        <v>19.118749999999999</v>
      </c>
      <c r="D12" s="178">
        <f t="shared" ref="D12:K12" si="1">+D8*1.15</f>
        <v>19.124101333333325</v>
      </c>
      <c r="E12" s="178">
        <f t="shared" si="1"/>
        <v>19.115706333333328</v>
      </c>
      <c r="F12" s="178">
        <f t="shared" si="1"/>
        <v>19.093162499999998</v>
      </c>
      <c r="G12" s="178">
        <f t="shared" si="1"/>
        <v>19.058148833333327</v>
      </c>
      <c r="H12" s="178">
        <f t="shared" si="1"/>
        <v>18.670997499999999</v>
      </c>
      <c r="I12" s="178">
        <f t="shared" si="1"/>
        <v>17.925053833333326</v>
      </c>
      <c r="J12" s="178">
        <f t="shared" si="1"/>
        <v>16.801618833333329</v>
      </c>
      <c r="K12" s="178">
        <f t="shared" si="1"/>
        <v>15.283672499999993</v>
      </c>
    </row>
    <row r="13" spans="1:15" ht="15" customHeight="1" x14ac:dyDescent="0.15">
      <c r="A13" s="314" t="s">
        <v>89</v>
      </c>
      <c r="B13" s="179" t="s">
        <v>128</v>
      </c>
      <c r="C13" s="180">
        <f>C6/処理能力と稼働率!$D7</f>
        <v>0.45111111111111113</v>
      </c>
      <c r="D13" s="180">
        <f>D6/処理能力と稼働率!$D7</f>
        <v>0.44959666666666664</v>
      </c>
      <c r="E13" s="180">
        <f>E6/処理能力と稼働率!$D7</f>
        <v>0.44779222222222226</v>
      </c>
      <c r="F13" s="180">
        <f>F6/処理能力と稼働率!$D7</f>
        <v>0.4456977777777778</v>
      </c>
      <c r="G13" s="180">
        <f>G6/処理能力と稼働率!$D7</f>
        <v>0.44328111111111113</v>
      </c>
      <c r="H13" s="180">
        <f>H6/処理能力と稼働率!$D7</f>
        <v>0.42675111111111114</v>
      </c>
      <c r="I13" s="180">
        <f>I6/処理能力と稼働率!$D7</f>
        <v>0.4026811111111111</v>
      </c>
      <c r="J13" s="180">
        <f>J6/処理能力と稼働率!$D7</f>
        <v>0.37110333333333334</v>
      </c>
      <c r="K13" s="180">
        <f>K6/処理能力と稼働率!$D7</f>
        <v>0.33201777777777775</v>
      </c>
    </row>
    <row r="14" spans="1:15" ht="15" customHeight="1" x14ac:dyDescent="0.15">
      <c r="A14" s="315"/>
      <c r="B14" s="41" t="s">
        <v>129</v>
      </c>
      <c r="C14" s="180">
        <f>C8/処理能力と稼働率!D8</f>
        <v>0.66500000000000004</v>
      </c>
      <c r="D14" s="180">
        <f>D8/処理能力と稼働率!D8</f>
        <v>0.6651861333333331</v>
      </c>
      <c r="E14" s="180">
        <f>E8/処理能力と稼働率!D8</f>
        <v>0.66489413333333314</v>
      </c>
      <c r="F14" s="180">
        <f>F8/処理能力と稼働率!D8</f>
        <v>0.66410999999999998</v>
      </c>
      <c r="G14" s="180">
        <f>G8/処理能力と稼働率!D8</f>
        <v>0.66289213333333319</v>
      </c>
      <c r="H14" s="180">
        <f>H8/処理能力と稼働率!D8</f>
        <v>0.64942599999999995</v>
      </c>
      <c r="I14" s="180">
        <f>I8/処理能力と稼働率!D8</f>
        <v>0.62348013333333308</v>
      </c>
      <c r="J14" s="180">
        <f>J8/処理能力と稼働率!D8</f>
        <v>0.5844041333333333</v>
      </c>
      <c r="K14" s="180">
        <f>K8/処理能力と稼働率!D8</f>
        <v>0.5316059999999998</v>
      </c>
      <c r="M14" s="141" t="s">
        <v>122</v>
      </c>
      <c r="N14" s="141">
        <v>100</v>
      </c>
      <c r="O14" t="s">
        <v>8</v>
      </c>
    </row>
    <row r="15" spans="1:15" ht="15" customHeight="1" x14ac:dyDescent="0.15">
      <c r="A15" s="183"/>
      <c r="B15" s="181" t="s">
        <v>130</v>
      </c>
      <c r="C15" s="182">
        <f>流入水量!D13</f>
        <v>80.044499999999999</v>
      </c>
      <c r="D15" s="182">
        <f>流入水量!E13</f>
        <v>79.703431999999964</v>
      </c>
      <c r="E15" s="182">
        <f>流入水量!F13</f>
        <v>79.305781999999979</v>
      </c>
      <c r="F15" s="182">
        <f>流入水量!G13</f>
        <v>78.859521000000001</v>
      </c>
      <c r="G15" s="182">
        <f>流入水量!H13</f>
        <v>78.360784999999964</v>
      </c>
      <c r="H15" s="182">
        <f>流入水量!M13</f>
        <v>75.064292999999992</v>
      </c>
      <c r="I15" s="182">
        <f>流入水量!R13</f>
        <v>70.480612999999977</v>
      </c>
      <c r="J15" s="182">
        <f>流入水量!W13</f>
        <v>64.632976999999968</v>
      </c>
      <c r="K15" s="182">
        <f>流入水量!AB13</f>
        <v>57.540752999999967</v>
      </c>
    </row>
    <row r="16" spans="1:15" ht="15" customHeight="1" x14ac:dyDescent="0.15">
      <c r="A16" s="304" t="s">
        <v>287</v>
      </c>
      <c r="B16" s="184" t="s">
        <v>124</v>
      </c>
      <c r="C16" s="185">
        <f>ROUND((C6*N4/1000000*N5/100*N14/100)/(N17/100),0)</f>
        <v>69</v>
      </c>
      <c r="D16" s="185">
        <f>ROUND((D6*N4/1000000*N5/100*N14/100)/(N17/100),0)</f>
        <v>69</v>
      </c>
      <c r="E16" s="185">
        <f>ROUND((E6*N4/1000000*N5/100*N14/100)/(N17/100),0)</f>
        <v>69</v>
      </c>
      <c r="F16" s="185">
        <f>ROUND((F6*N4/1000000*N5/100*N14/100)/(N17/100),0)</f>
        <v>69</v>
      </c>
      <c r="G16" s="185">
        <f>ROUND((G6*N4/1000000*N5/100*N14/100)/(N17/100),0)</f>
        <v>68</v>
      </c>
      <c r="H16" s="185">
        <f>ROUND((H6*N4/1000000*N5/100*N14/100)/(N17/100),0)</f>
        <v>66</v>
      </c>
      <c r="I16" s="185">
        <f>ROUND((I6*N4/1000000*N5/100*N14/100)/(N17/100),0)</f>
        <v>62</v>
      </c>
      <c r="J16" s="185">
        <f>ROUND((J6*N4/1000000*N5/100*N14/100)/(N17/100),0)</f>
        <v>57</v>
      </c>
      <c r="K16" s="185">
        <f>ROUND((K6*N4/1000000*N5/100*N14/100)/(N17/100),0)</f>
        <v>51</v>
      </c>
      <c r="M16" s="141"/>
      <c r="N16" s="141">
        <v>75</v>
      </c>
      <c r="O16" t="s">
        <v>8</v>
      </c>
    </row>
    <row r="17" spans="1:15" ht="15" customHeight="1" x14ac:dyDescent="0.15">
      <c r="A17" s="305"/>
      <c r="B17" s="184" t="s">
        <v>125</v>
      </c>
      <c r="C17" s="185">
        <f>+C16/0.7</f>
        <v>98.571428571428584</v>
      </c>
      <c r="D17" s="185">
        <f t="shared" ref="D17:K17" si="2">+D16/0.7</f>
        <v>98.571428571428584</v>
      </c>
      <c r="E17" s="185">
        <f t="shared" si="2"/>
        <v>98.571428571428584</v>
      </c>
      <c r="F17" s="185">
        <f t="shared" si="2"/>
        <v>98.571428571428584</v>
      </c>
      <c r="G17" s="185">
        <f t="shared" si="2"/>
        <v>97.142857142857153</v>
      </c>
      <c r="H17" s="185">
        <f t="shared" si="2"/>
        <v>94.285714285714292</v>
      </c>
      <c r="I17" s="185">
        <f t="shared" si="2"/>
        <v>88.571428571428584</v>
      </c>
      <c r="J17" s="185">
        <f t="shared" si="2"/>
        <v>81.428571428571431</v>
      </c>
      <c r="K17" s="185">
        <f t="shared" si="2"/>
        <v>72.857142857142861</v>
      </c>
      <c r="M17" s="141" t="s">
        <v>126</v>
      </c>
      <c r="N17" s="141">
        <v>1</v>
      </c>
      <c r="O17" t="s">
        <v>8</v>
      </c>
    </row>
    <row r="18" spans="1:15" ht="39.75" customHeight="1" x14ac:dyDescent="0.15"/>
  </sheetData>
  <mergeCells count="6">
    <mergeCell ref="A16:A17"/>
    <mergeCell ref="A2:B2"/>
    <mergeCell ref="A3:B3"/>
    <mergeCell ref="A4:A5"/>
    <mergeCell ref="A6:A12"/>
    <mergeCell ref="A13:A14"/>
  </mergeCells>
  <phoneticPr fontId="26"/>
  <pageMargins left="0.69930555555555596" right="0.69930555555555596"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5"/>
  <sheetViews>
    <sheetView showGridLines="0" workbookViewId="0">
      <selection activeCell="C36" sqref="C36"/>
    </sheetView>
  </sheetViews>
  <sheetFormatPr defaultColWidth="9" defaultRowHeight="13.5" x14ac:dyDescent="0.15"/>
  <cols>
    <col min="1" max="1" width="5.375" customWidth="1"/>
    <col min="2" max="2" width="24.75" customWidth="1"/>
    <col min="3" max="3" width="7.75" customWidth="1"/>
    <col min="4" max="5" width="8.25" customWidth="1"/>
    <col min="6" max="7" width="11" customWidth="1"/>
    <col min="8" max="8" width="13" customWidth="1"/>
    <col min="9" max="9" width="9" customWidth="1"/>
    <col min="11" max="11" width="28.875" customWidth="1"/>
    <col min="17" max="17" width="14.375" customWidth="1"/>
  </cols>
  <sheetData>
    <row r="2" spans="1:17" x14ac:dyDescent="0.15">
      <c r="D2" s="205" t="s">
        <v>284</v>
      </c>
      <c r="E2" s="205" t="s">
        <v>285</v>
      </c>
    </row>
    <row r="3" spans="1:17" ht="27.75" thickBot="1" x14ac:dyDescent="0.2">
      <c r="A3" s="278" t="s">
        <v>46</v>
      </c>
      <c r="B3" s="278"/>
      <c r="C3" s="165" t="s">
        <v>131</v>
      </c>
      <c r="D3" s="165" t="s">
        <v>132</v>
      </c>
      <c r="E3" s="204" t="s">
        <v>132</v>
      </c>
      <c r="F3" s="165" t="s">
        <v>133</v>
      </c>
      <c r="G3" s="165" t="s">
        <v>134</v>
      </c>
      <c r="H3" s="165" t="s">
        <v>135</v>
      </c>
      <c r="I3" s="165" t="s">
        <v>136</v>
      </c>
      <c r="K3" s="119"/>
      <c r="L3" s="119"/>
      <c r="M3" s="119"/>
      <c r="N3" s="119"/>
      <c r="O3" s="119"/>
      <c r="P3" s="119"/>
      <c r="Q3" s="119"/>
    </row>
    <row r="4" spans="1:17" ht="14.25" customHeight="1" thickTop="1" x14ac:dyDescent="0.15">
      <c r="A4" s="285" t="s">
        <v>137</v>
      </c>
      <c r="B4" s="228" t="s">
        <v>56</v>
      </c>
      <c r="C4" s="40">
        <f>'下水、し尿等の水質'!$D$4</f>
        <v>3700</v>
      </c>
      <c r="D4" s="3">
        <f>流入水量!D5</f>
        <v>10.44</v>
      </c>
      <c r="E4" s="210">
        <f>流入水量!I5</f>
        <v>11.01942</v>
      </c>
      <c r="F4" s="40">
        <f>D4*C4/1000</f>
        <v>38.628</v>
      </c>
      <c r="G4" s="166"/>
      <c r="H4" s="166"/>
      <c r="I4" s="166"/>
      <c r="J4" t="b">
        <f>IF(F4=流入水量!D14,TRUE)</f>
        <v>1</v>
      </c>
      <c r="K4" s="236"/>
      <c r="L4" s="119"/>
      <c r="M4" s="237"/>
      <c r="N4" s="237"/>
      <c r="O4" s="237"/>
      <c r="P4" s="237"/>
      <c r="Q4" s="121"/>
    </row>
    <row r="5" spans="1:17" ht="14.25" customHeight="1" x14ac:dyDescent="0.15">
      <c r="A5" s="282"/>
      <c r="B5" s="229" t="s">
        <v>59</v>
      </c>
      <c r="C5" s="30">
        <f>'下水、し尿等の水質'!$D$4</f>
        <v>3700</v>
      </c>
      <c r="D5" s="4">
        <f>流入水量!D6</f>
        <v>1.6650000000000003</v>
      </c>
      <c r="E5" s="26">
        <f>流入水量!I6</f>
        <v>1.4518800000000001</v>
      </c>
      <c r="F5" s="30">
        <f t="shared" ref="F5:F6" si="0">D5*C5/1000</f>
        <v>6.1605000000000008</v>
      </c>
      <c r="G5" s="25"/>
      <c r="H5" s="25"/>
      <c r="I5" s="25"/>
      <c r="J5" t="b">
        <f>IF(F5=流入水量!D15,TRUE)</f>
        <v>1</v>
      </c>
      <c r="K5" s="236"/>
      <c r="L5" s="119"/>
      <c r="M5" s="238"/>
      <c r="N5" s="238"/>
      <c r="O5" s="238"/>
      <c r="P5" s="237"/>
      <c r="Q5" s="119"/>
    </row>
    <row r="6" spans="1:17" x14ac:dyDescent="0.15">
      <c r="A6" s="282"/>
      <c r="B6" s="229" t="s">
        <v>60</v>
      </c>
      <c r="C6" s="30">
        <f>'下水、し尿等の水質'!$C$4</f>
        <v>7800</v>
      </c>
      <c r="D6" s="4">
        <f>流入水量!D7</f>
        <v>4.5199999999999996</v>
      </c>
      <c r="E6" s="26">
        <f>流入水量!I7</f>
        <v>4.0574533333333305</v>
      </c>
      <c r="F6" s="30">
        <f t="shared" si="0"/>
        <v>35.256</v>
      </c>
      <c r="G6" s="25"/>
      <c r="H6" s="25"/>
      <c r="I6" s="25"/>
      <c r="J6" t="b">
        <f>IF(F6=流入水量!D16,TRUE)</f>
        <v>1</v>
      </c>
      <c r="K6" s="236"/>
      <c r="L6" s="119"/>
      <c r="M6" s="238"/>
      <c r="N6" s="238"/>
      <c r="O6" s="238"/>
      <c r="P6" s="237"/>
      <c r="Q6" s="119"/>
    </row>
    <row r="7" spans="1:17" x14ac:dyDescent="0.15">
      <c r="A7" s="282"/>
      <c r="B7" s="229" t="s">
        <v>138</v>
      </c>
      <c r="C7" s="30">
        <f>F7/D7*1000</f>
        <v>4814.706766917293</v>
      </c>
      <c r="D7" s="13">
        <f>SUM(D4:D6)</f>
        <v>16.625</v>
      </c>
      <c r="E7" s="39">
        <f>SUM(E4:E6)</f>
        <v>16.528753333333331</v>
      </c>
      <c r="F7" s="30">
        <f>SUM(F4:F6)</f>
        <v>80.044499999999999</v>
      </c>
      <c r="G7" s="4">
        <v>210</v>
      </c>
      <c r="H7" s="4">
        <f>ROUNDUP(C7/G7,0)</f>
        <v>23</v>
      </c>
      <c r="I7" s="4">
        <f>ROUND(H7*D7,0)</f>
        <v>382</v>
      </c>
      <c r="K7" s="236"/>
      <c r="L7" s="119"/>
      <c r="M7" s="238"/>
      <c r="N7" s="238"/>
      <c r="O7" s="238"/>
      <c r="P7" s="237"/>
      <c r="Q7" s="119"/>
    </row>
    <row r="8" spans="1:17" x14ac:dyDescent="0.15">
      <c r="A8" s="282" t="s">
        <v>139</v>
      </c>
      <c r="B8" s="227" t="s">
        <v>56</v>
      </c>
      <c r="C8" s="30">
        <f>'下水、し尿等の水質'!$D$6</f>
        <v>8600</v>
      </c>
      <c r="D8" s="4">
        <f>D4</f>
        <v>10.44</v>
      </c>
      <c r="E8" s="26">
        <f>E4</f>
        <v>11.01942</v>
      </c>
      <c r="F8" s="30">
        <f>D8*C8/1000</f>
        <v>89.784000000000006</v>
      </c>
      <c r="G8" s="25"/>
      <c r="H8" s="25"/>
      <c r="I8" s="25"/>
      <c r="K8" s="236"/>
      <c r="L8" s="119"/>
      <c r="M8" s="237"/>
      <c r="N8" s="239"/>
      <c r="O8" s="239"/>
      <c r="P8" s="239"/>
      <c r="Q8" s="119"/>
    </row>
    <row r="9" spans="1:17" x14ac:dyDescent="0.15">
      <c r="A9" s="282"/>
      <c r="B9" s="229" t="s">
        <v>59</v>
      </c>
      <c r="C9" s="30">
        <f>'下水、し尿等の水質'!$D$6</f>
        <v>8600</v>
      </c>
      <c r="D9" s="4">
        <f t="shared" ref="D9:E10" si="1">D5</f>
        <v>1.6650000000000003</v>
      </c>
      <c r="E9" s="26">
        <f t="shared" si="1"/>
        <v>1.4518800000000001</v>
      </c>
      <c r="F9" s="30">
        <f t="shared" ref="F9:F10" si="2">D9*C9/1000</f>
        <v>14.319000000000003</v>
      </c>
      <c r="G9" s="25"/>
      <c r="H9" s="25"/>
      <c r="I9" s="25"/>
      <c r="K9" s="236"/>
      <c r="L9" s="119"/>
      <c r="M9" s="239"/>
      <c r="N9" s="239"/>
      <c r="O9" s="239"/>
      <c r="P9" s="239"/>
      <c r="Q9" s="119"/>
    </row>
    <row r="10" spans="1:17" x14ac:dyDescent="0.15">
      <c r="A10" s="282"/>
      <c r="B10" s="229" t="s">
        <v>60</v>
      </c>
      <c r="C10" s="30">
        <f>'下水、し尿等の水質'!$C$6</f>
        <v>8300</v>
      </c>
      <c r="D10" s="4">
        <f t="shared" si="1"/>
        <v>4.5199999999999996</v>
      </c>
      <c r="E10" s="26">
        <f t="shared" si="1"/>
        <v>4.0574533333333305</v>
      </c>
      <c r="F10" s="30">
        <f t="shared" si="2"/>
        <v>37.515999999999998</v>
      </c>
      <c r="G10" s="25"/>
      <c r="H10" s="25"/>
      <c r="I10" s="25"/>
      <c r="K10" s="236"/>
      <c r="L10" s="119"/>
      <c r="M10" s="238"/>
      <c r="N10" s="238"/>
      <c r="O10" s="238"/>
      <c r="P10" s="239"/>
      <c r="Q10" s="119"/>
    </row>
    <row r="11" spans="1:17" x14ac:dyDescent="0.15">
      <c r="A11" s="282"/>
      <c r="B11" s="229" t="s">
        <v>138</v>
      </c>
      <c r="C11" s="30">
        <f>F11/D11*1000</f>
        <v>8518.436090225563</v>
      </c>
      <c r="D11" s="13">
        <f>SUM(D8:D10)</f>
        <v>16.625</v>
      </c>
      <c r="E11" s="39">
        <f>SUM(E8:E10)</f>
        <v>16.528753333333331</v>
      </c>
      <c r="F11" s="30">
        <f>SUM(F8:F10)</f>
        <v>141.619</v>
      </c>
      <c r="G11" s="4">
        <v>180</v>
      </c>
      <c r="H11" s="167">
        <f>ROUNDUP(C11/G11,0)</f>
        <v>48</v>
      </c>
      <c r="I11" s="4">
        <f>ROUND(H11*D11,0)</f>
        <v>798</v>
      </c>
      <c r="K11" s="236"/>
      <c r="L11" s="119"/>
      <c r="M11" s="239"/>
      <c r="N11" s="239"/>
      <c r="O11" s="239"/>
      <c r="P11" s="239"/>
      <c r="Q11" s="119"/>
    </row>
    <row r="12" spans="1:17" x14ac:dyDescent="0.15">
      <c r="A12" s="168"/>
      <c r="B12" s="16" t="s">
        <v>140</v>
      </c>
      <c r="K12" s="236"/>
      <c r="L12" s="119"/>
      <c r="M12" s="239"/>
      <c r="N12" s="239"/>
      <c r="O12" s="239"/>
      <c r="P12" s="239"/>
      <c r="Q12" s="119"/>
    </row>
    <row r="13" spans="1:17" x14ac:dyDescent="0.15">
      <c r="K13" s="236"/>
      <c r="L13" s="119"/>
      <c r="M13" s="239"/>
      <c r="N13" s="239"/>
      <c r="O13" s="239"/>
      <c r="P13" s="239"/>
      <c r="Q13" s="119"/>
    </row>
    <row r="14" spans="1:17" x14ac:dyDescent="0.15">
      <c r="K14" s="240"/>
      <c r="L14" s="119"/>
      <c r="M14" s="239"/>
      <c r="N14" s="239"/>
      <c r="O14" s="239"/>
      <c r="P14" s="239"/>
      <c r="Q14" s="119"/>
    </row>
    <row r="15" spans="1:17" x14ac:dyDescent="0.15">
      <c r="A15" s="316"/>
      <c r="B15" s="316"/>
      <c r="C15" s="232"/>
      <c r="D15" s="232"/>
      <c r="E15" s="232"/>
      <c r="F15" s="232"/>
      <c r="G15" s="232"/>
      <c r="H15" s="232"/>
      <c r="I15" s="232"/>
      <c r="K15" s="236"/>
      <c r="L15" s="119"/>
      <c r="M15" s="239"/>
      <c r="N15" s="239"/>
      <c r="O15" s="239"/>
      <c r="P15" s="239"/>
      <c r="Q15" s="119"/>
    </row>
    <row r="16" spans="1:17" x14ac:dyDescent="0.15">
      <c r="A16" s="316"/>
      <c r="B16" s="121"/>
      <c r="C16" s="234"/>
      <c r="D16" s="121"/>
      <c r="E16" s="121"/>
      <c r="F16" s="234"/>
      <c r="G16" s="121"/>
      <c r="H16" s="121"/>
      <c r="I16" s="121"/>
      <c r="K16" s="236"/>
      <c r="L16" s="119"/>
      <c r="M16" s="239"/>
      <c r="N16" s="239"/>
      <c r="O16" s="239"/>
      <c r="P16" s="239"/>
      <c r="Q16" s="119"/>
    </row>
    <row r="17" spans="1:17" x14ac:dyDescent="0.15">
      <c r="A17" s="316"/>
      <c r="I17" s="121"/>
      <c r="K17" s="236"/>
      <c r="L17" s="119"/>
      <c r="M17" s="239"/>
      <c r="N17" s="239"/>
      <c r="O17" s="239"/>
      <c r="P17" s="239"/>
      <c r="Q17" s="119"/>
    </row>
    <row r="18" spans="1:17" x14ac:dyDescent="0.15">
      <c r="A18" s="316"/>
      <c r="I18" s="121"/>
      <c r="K18" s="236"/>
      <c r="L18" s="119"/>
      <c r="M18" s="239"/>
      <c r="N18" s="239"/>
      <c r="O18" s="239"/>
      <c r="P18" s="239"/>
      <c r="Q18" s="121"/>
    </row>
    <row r="19" spans="1:17" x14ac:dyDescent="0.15">
      <c r="A19" s="316"/>
      <c r="I19" s="121"/>
      <c r="K19" s="236"/>
      <c r="L19" s="119"/>
      <c r="M19" s="239"/>
      <c r="N19" s="239"/>
      <c r="O19" s="239"/>
      <c r="P19" s="239"/>
      <c r="Q19" s="121"/>
    </row>
    <row r="20" spans="1:17" x14ac:dyDescent="0.15">
      <c r="A20" s="316"/>
      <c r="I20" s="121"/>
      <c r="K20" s="170"/>
    </row>
    <row r="21" spans="1:17" x14ac:dyDescent="0.15">
      <c r="A21" s="316"/>
      <c r="I21" s="121"/>
      <c r="K21" s="170"/>
    </row>
    <row r="22" spans="1:17" x14ac:dyDescent="0.15">
      <c r="A22" s="316"/>
      <c r="I22" s="121"/>
    </row>
    <row r="23" spans="1:17" x14ac:dyDescent="0.15">
      <c r="A23" s="316"/>
      <c r="I23" s="121"/>
    </row>
    <row r="24" spans="1:17" x14ac:dyDescent="0.15">
      <c r="A24" s="121"/>
      <c r="I24" s="121"/>
    </row>
    <row r="25" spans="1:17" x14ac:dyDescent="0.15">
      <c r="A25" s="121"/>
      <c r="I25" s="121"/>
    </row>
  </sheetData>
  <mergeCells count="6">
    <mergeCell ref="A20:A23"/>
    <mergeCell ref="A3:B3"/>
    <mergeCell ref="A15:B15"/>
    <mergeCell ref="A4:A7"/>
    <mergeCell ref="A8:A11"/>
    <mergeCell ref="A16:A19"/>
  </mergeCells>
  <phoneticPr fontId="26"/>
  <pageMargins left="0.69930555555555596" right="0.69930555555555596" top="0.75" bottom="0.75" header="0.3" footer="0.3"/>
  <pageSetup paperSize="9" orientation="portrait"/>
  <ignoredErrors>
    <ignoredError sqref="F7"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L233"/>
  <sheetViews>
    <sheetView showGridLines="0" view="pageBreakPreview" zoomScale="70" zoomScaleNormal="10" zoomScaleSheetLayoutView="70" workbookViewId="0">
      <selection activeCell="AH30" sqref="AH30"/>
    </sheetView>
  </sheetViews>
  <sheetFormatPr defaultColWidth="9" defaultRowHeight="13.5" outlineLevelRow="1" outlineLevelCol="1" x14ac:dyDescent="0.15"/>
  <cols>
    <col min="1" max="1" width="12.375" customWidth="1"/>
    <col min="2" max="2" width="19.375" customWidth="1"/>
    <col min="3" max="3" width="9.875" customWidth="1"/>
    <col min="4" max="4" width="14.125" customWidth="1"/>
    <col min="5" max="8" width="8.5" customWidth="1"/>
    <col min="9" max="13" width="8.5" customWidth="1" outlineLevel="1"/>
    <col min="14" max="29" width="8.5" customWidth="1"/>
    <col min="30" max="30" width="8.25" customWidth="1"/>
    <col min="31" max="32" width="5.875" customWidth="1"/>
    <col min="33" max="33" width="7.75" customWidth="1"/>
    <col min="34" max="34" width="9.125" customWidth="1"/>
  </cols>
  <sheetData>
    <row r="3" spans="1:38" ht="25.5" customHeight="1" x14ac:dyDescent="0.15">
      <c r="A3" s="282" t="s">
        <v>85</v>
      </c>
      <c r="B3" s="282" t="s">
        <v>86</v>
      </c>
      <c r="C3" s="288" t="s">
        <v>143</v>
      </c>
      <c r="D3" s="288" t="s">
        <v>144</v>
      </c>
      <c r="E3" s="288" t="s">
        <v>145</v>
      </c>
      <c r="F3" s="288" t="s">
        <v>146</v>
      </c>
      <c r="G3" s="288" t="s">
        <v>87</v>
      </c>
      <c r="H3" s="288"/>
      <c r="I3" s="288"/>
      <c r="J3" s="288" t="s">
        <v>147</v>
      </c>
      <c r="K3" s="288"/>
      <c r="L3" s="360" t="s">
        <v>148</v>
      </c>
      <c r="M3" s="360" t="s">
        <v>149</v>
      </c>
      <c r="N3" s="360" t="s">
        <v>150</v>
      </c>
      <c r="O3" s="360" t="s">
        <v>151</v>
      </c>
      <c r="P3" s="282" t="s">
        <v>152</v>
      </c>
      <c r="Q3" s="282"/>
      <c r="R3" s="46" t="s">
        <v>153</v>
      </c>
      <c r="S3" s="46" t="s">
        <v>153</v>
      </c>
      <c r="T3" s="288" t="s">
        <v>154</v>
      </c>
      <c r="U3" s="370" t="s">
        <v>155</v>
      </c>
      <c r="V3" s="288" t="s">
        <v>156</v>
      </c>
      <c r="W3" s="288"/>
      <c r="X3" s="288" t="s">
        <v>157</v>
      </c>
      <c r="Y3" s="288"/>
      <c r="Z3" s="288" t="s">
        <v>158</v>
      </c>
      <c r="AA3" s="288"/>
    </row>
    <row r="4" spans="1:38" ht="25.5" customHeight="1" x14ac:dyDescent="0.15">
      <c r="A4" s="282"/>
      <c r="B4" s="282"/>
      <c r="C4" s="282"/>
      <c r="D4" s="301"/>
      <c r="E4" s="282"/>
      <c r="F4" s="282"/>
      <c r="G4" s="7" t="s">
        <v>159</v>
      </c>
      <c r="H4" s="7" t="s">
        <v>160</v>
      </c>
      <c r="I4" s="4" t="s">
        <v>161</v>
      </c>
      <c r="J4" s="7" t="s">
        <v>162</v>
      </c>
      <c r="K4" s="12" t="s">
        <v>163</v>
      </c>
      <c r="L4" s="360"/>
      <c r="M4" s="360"/>
      <c r="N4" s="360"/>
      <c r="O4" s="360"/>
      <c r="P4" s="7" t="s">
        <v>162</v>
      </c>
      <c r="Q4" s="12" t="s">
        <v>163</v>
      </c>
      <c r="R4" s="115" t="s">
        <v>164</v>
      </c>
      <c r="S4" s="47" t="s">
        <v>165</v>
      </c>
      <c r="T4" s="282"/>
      <c r="U4" s="371"/>
      <c r="V4" s="7" t="s">
        <v>162</v>
      </c>
      <c r="W4" s="12" t="s">
        <v>163</v>
      </c>
      <c r="X4" s="7" t="s">
        <v>162</v>
      </c>
      <c r="Y4" s="12" t="s">
        <v>163</v>
      </c>
      <c r="Z4" s="7" t="s">
        <v>162</v>
      </c>
      <c r="AA4" s="12" t="s">
        <v>163</v>
      </c>
    </row>
    <row r="5" spans="1:38" x14ac:dyDescent="0.15">
      <c r="A5" s="14" t="s">
        <v>94</v>
      </c>
      <c r="B5" s="14" t="s">
        <v>95</v>
      </c>
      <c r="C5" s="20">
        <f>維持管理費等!D12</f>
        <v>75</v>
      </c>
      <c r="D5" s="20">
        <f>ROUND(1000*(2468*P12^0.382)/(P14*365),0)</f>
        <v>48</v>
      </c>
      <c r="E5" s="20">
        <v>1589</v>
      </c>
      <c r="F5" s="20">
        <f>ROUND(1000*(2468*P12^0.382)*0.51/(P127*365),0)</f>
        <v>1157</v>
      </c>
      <c r="G5" s="21">
        <f>処理能力と稼働率!D7</f>
        <v>9000</v>
      </c>
      <c r="H5" s="21">
        <f>ROUNDUP(P14/0.7*2,-3)/2</f>
        <v>5500</v>
      </c>
      <c r="I5" s="21">
        <f>ROUNDUP((P70)/0.7,-3)</f>
        <v>7000</v>
      </c>
      <c r="J5" s="21">
        <v>72734</v>
      </c>
      <c r="K5" s="4">
        <v>0.26</v>
      </c>
      <c r="L5" s="99">
        <v>9.1999999999999993</v>
      </c>
      <c r="M5" s="100">
        <v>0.22</v>
      </c>
      <c r="N5" s="101">
        <v>6.3E-2</v>
      </c>
      <c r="O5" s="102">
        <v>60</v>
      </c>
      <c r="P5" s="27">
        <v>63.405999999999999</v>
      </c>
      <c r="Q5" s="27">
        <v>-0.97699999999999998</v>
      </c>
      <c r="R5" s="4">
        <f>$P$5*(E16*100)^$Q$5</f>
        <v>1.5342472491364942</v>
      </c>
      <c r="S5" s="4">
        <f>$P$5*(P16*100)^$Q$5</f>
        <v>1.0215541009517286</v>
      </c>
      <c r="T5" s="27">
        <v>0.51</v>
      </c>
      <c r="U5" s="48">
        <v>0.49</v>
      </c>
      <c r="V5" s="49">
        <v>978</v>
      </c>
      <c r="W5" s="26">
        <v>0.59</v>
      </c>
      <c r="X5" s="28">
        <v>112140</v>
      </c>
      <c r="Y5" s="26">
        <v>0.26</v>
      </c>
      <c r="Z5" s="28">
        <v>125019</v>
      </c>
      <c r="AA5" s="26">
        <v>0.04</v>
      </c>
    </row>
    <row r="6" spans="1:38" x14ac:dyDescent="0.15">
      <c r="A6" s="96" t="s">
        <v>98</v>
      </c>
      <c r="B6" s="96" t="s">
        <v>166</v>
      </c>
      <c r="C6" s="21">
        <f>維持管理費等!D14</f>
        <v>18000</v>
      </c>
      <c r="D6" s="21">
        <f>1000*(17845*J13^0.57)/(J15*365)</f>
        <v>16342.814119862269</v>
      </c>
      <c r="E6" s="20"/>
      <c r="F6" s="20"/>
      <c r="G6" s="21">
        <v>25</v>
      </c>
      <c r="H6" s="21">
        <f>ROUNDUP(J15*1.15,-1)</f>
        <v>20</v>
      </c>
      <c r="I6" s="21">
        <f>ROUNDUP(J15*1.15,-1)</f>
        <v>20</v>
      </c>
      <c r="J6" s="103">
        <v>796386</v>
      </c>
      <c r="K6" s="104">
        <v>0.1031</v>
      </c>
      <c r="L6" s="105">
        <v>15</v>
      </c>
      <c r="M6" s="105">
        <f>+L6</f>
        <v>15</v>
      </c>
      <c r="N6" s="105">
        <v>8000</v>
      </c>
      <c r="O6" s="105">
        <f>+N6</f>
        <v>8000</v>
      </c>
      <c r="P6" s="27">
        <v>62.106999999999999</v>
      </c>
      <c r="Q6" s="27">
        <v>-0.92500000000000004</v>
      </c>
      <c r="R6" s="4">
        <f>$P$6*(E17*100)^$Q$6</f>
        <v>1.281253539910463</v>
      </c>
      <c r="S6" s="4">
        <f>$P$6*(J17*100)^$Q$6</f>
        <v>1.0481432680016152</v>
      </c>
      <c r="T6" s="5">
        <v>0.51</v>
      </c>
      <c r="U6" s="48">
        <v>0.49</v>
      </c>
      <c r="V6" s="21">
        <v>1580</v>
      </c>
      <c r="W6" s="26">
        <v>0.66</v>
      </c>
      <c r="X6" s="28">
        <v>112140</v>
      </c>
      <c r="Y6" s="26">
        <v>0.26</v>
      </c>
      <c r="Z6" s="28">
        <v>125019</v>
      </c>
      <c r="AA6" s="26">
        <v>0.04</v>
      </c>
    </row>
    <row r="7" spans="1:38" x14ac:dyDescent="0.15">
      <c r="A7" s="96" t="s">
        <v>167</v>
      </c>
      <c r="B7" s="96" t="s">
        <v>166</v>
      </c>
      <c r="J7" s="106">
        <v>234173</v>
      </c>
      <c r="K7">
        <v>0.4582</v>
      </c>
    </row>
    <row r="8" spans="1:38" x14ac:dyDescent="0.15">
      <c r="A8" s="96" t="s">
        <v>168</v>
      </c>
      <c r="B8" s="96" t="s">
        <v>166</v>
      </c>
      <c r="J8" s="107">
        <v>55786</v>
      </c>
      <c r="K8">
        <v>0.52070000000000005</v>
      </c>
    </row>
    <row r="9" spans="1:38" s="18" customFormat="1" ht="18.75" x14ac:dyDescent="0.15">
      <c r="F9" s="19" t="s">
        <v>169</v>
      </c>
    </row>
    <row r="11" spans="1:38" ht="15.95" customHeight="1" x14ac:dyDescent="0.15">
      <c r="B11" s="7" t="s">
        <v>46</v>
      </c>
      <c r="C11" s="7" t="s">
        <v>2</v>
      </c>
      <c r="D11" s="7" t="s">
        <v>142</v>
      </c>
      <c r="E11" s="29">
        <v>1</v>
      </c>
      <c r="F11" s="29">
        <v>2</v>
      </c>
      <c r="G11" s="29">
        <v>3</v>
      </c>
      <c r="H11" s="29">
        <v>4</v>
      </c>
      <c r="I11" s="29">
        <v>5</v>
      </c>
      <c r="J11" s="29">
        <v>6</v>
      </c>
      <c r="K11" s="29">
        <v>7</v>
      </c>
      <c r="L11" s="29">
        <v>8</v>
      </c>
      <c r="M11" s="29">
        <v>9</v>
      </c>
      <c r="N11" s="29">
        <v>10</v>
      </c>
      <c r="O11" s="29">
        <v>11</v>
      </c>
      <c r="P11" s="29">
        <v>12</v>
      </c>
      <c r="Q11" s="29">
        <v>13</v>
      </c>
      <c r="R11" s="29">
        <v>14</v>
      </c>
      <c r="S11" s="29">
        <v>15</v>
      </c>
      <c r="T11" s="29">
        <v>16</v>
      </c>
      <c r="U11" s="29">
        <v>17</v>
      </c>
      <c r="V11" s="29">
        <v>18</v>
      </c>
      <c r="W11" s="29">
        <v>19</v>
      </c>
      <c r="X11" s="29">
        <v>20</v>
      </c>
      <c r="Y11" s="29">
        <v>21</v>
      </c>
      <c r="Z11" s="29">
        <v>22</v>
      </c>
      <c r="AA11" s="29">
        <v>23</v>
      </c>
      <c r="AB11" s="29">
        <v>24</v>
      </c>
      <c r="AC11" s="29">
        <v>25</v>
      </c>
      <c r="AD11" s="7" t="s">
        <v>141</v>
      </c>
      <c r="AL11" s="226"/>
    </row>
    <row r="12" spans="1:38" ht="15.95" customHeight="1" x14ac:dyDescent="0.15">
      <c r="B12" s="346" t="s">
        <v>170</v>
      </c>
      <c r="C12" s="288" t="s">
        <v>171</v>
      </c>
      <c r="D12" s="7" t="s">
        <v>94</v>
      </c>
      <c r="E12" s="108">
        <f t="shared" ref="E12:G12" si="0">$G$5</f>
        <v>9000</v>
      </c>
      <c r="F12" s="29">
        <f t="shared" si="0"/>
        <v>9000</v>
      </c>
      <c r="G12" s="29">
        <f t="shared" si="0"/>
        <v>9000</v>
      </c>
      <c r="H12" s="29">
        <f t="shared" ref="H12:O12" si="1">$G$5</f>
        <v>9000</v>
      </c>
      <c r="I12" s="29">
        <f t="shared" si="1"/>
        <v>9000</v>
      </c>
      <c r="J12" s="29">
        <f t="shared" si="1"/>
        <v>9000</v>
      </c>
      <c r="K12" s="29">
        <f t="shared" si="1"/>
        <v>9000</v>
      </c>
      <c r="L12" s="29">
        <f t="shared" si="1"/>
        <v>9000</v>
      </c>
      <c r="M12" s="29">
        <f t="shared" si="1"/>
        <v>9000</v>
      </c>
      <c r="N12" s="29">
        <f t="shared" si="1"/>
        <v>9000</v>
      </c>
      <c r="O12" s="29">
        <f t="shared" si="1"/>
        <v>9000</v>
      </c>
      <c r="P12" s="109">
        <f t="shared" ref="P12:AC12" si="2">$H$5</f>
        <v>5500</v>
      </c>
      <c r="Q12" s="29">
        <f t="shared" si="2"/>
        <v>5500</v>
      </c>
      <c r="R12" s="29">
        <f t="shared" si="2"/>
        <v>5500</v>
      </c>
      <c r="S12" s="29">
        <f t="shared" si="2"/>
        <v>5500</v>
      </c>
      <c r="T12" s="29">
        <f t="shared" si="2"/>
        <v>5500</v>
      </c>
      <c r="U12" s="29">
        <f t="shared" si="2"/>
        <v>5500</v>
      </c>
      <c r="V12" s="29">
        <f t="shared" si="2"/>
        <v>5500</v>
      </c>
      <c r="W12" s="29">
        <f t="shared" si="2"/>
        <v>5500</v>
      </c>
      <c r="X12" s="29">
        <f t="shared" si="2"/>
        <v>5500</v>
      </c>
      <c r="Y12" s="29">
        <f t="shared" si="2"/>
        <v>5500</v>
      </c>
      <c r="Z12" s="29">
        <f t="shared" si="2"/>
        <v>5500</v>
      </c>
      <c r="AA12" s="29">
        <f t="shared" si="2"/>
        <v>5500</v>
      </c>
      <c r="AB12" s="29">
        <f t="shared" si="2"/>
        <v>5500</v>
      </c>
      <c r="AC12" s="29">
        <f t="shared" si="2"/>
        <v>5500</v>
      </c>
      <c r="AD12" s="7" t="s">
        <v>57</v>
      </c>
      <c r="AL12" s="226"/>
    </row>
    <row r="13" spans="1:38" ht="15.95" customHeight="1" x14ac:dyDescent="0.15">
      <c r="B13" s="346"/>
      <c r="C13" s="282"/>
      <c r="D13" s="96" t="s">
        <v>98</v>
      </c>
      <c r="E13" s="29">
        <f t="shared" ref="E13:I13" si="3">$G$6</f>
        <v>25</v>
      </c>
      <c r="F13" s="29">
        <f t="shared" si="3"/>
        <v>25</v>
      </c>
      <c r="G13" s="29">
        <f t="shared" si="3"/>
        <v>25</v>
      </c>
      <c r="H13" s="29">
        <f t="shared" si="3"/>
        <v>25</v>
      </c>
      <c r="I13" s="29">
        <f t="shared" si="3"/>
        <v>25</v>
      </c>
      <c r="J13" s="109">
        <f>$H$6</f>
        <v>20</v>
      </c>
      <c r="K13" s="29">
        <f t="shared" ref="K13:AC13" si="4">$H$6</f>
        <v>20</v>
      </c>
      <c r="L13" s="29">
        <f t="shared" si="4"/>
        <v>20</v>
      </c>
      <c r="M13" s="29">
        <f t="shared" si="4"/>
        <v>20</v>
      </c>
      <c r="N13" s="29">
        <f t="shared" si="4"/>
        <v>20</v>
      </c>
      <c r="O13" s="29">
        <f t="shared" si="4"/>
        <v>20</v>
      </c>
      <c r="P13" s="29">
        <f t="shared" si="4"/>
        <v>20</v>
      </c>
      <c r="Q13" s="29">
        <f t="shared" si="4"/>
        <v>20</v>
      </c>
      <c r="R13" s="29">
        <f t="shared" si="4"/>
        <v>20</v>
      </c>
      <c r="S13" s="29">
        <f t="shared" si="4"/>
        <v>20</v>
      </c>
      <c r="T13" s="29">
        <f t="shared" si="4"/>
        <v>20</v>
      </c>
      <c r="U13" s="29">
        <f t="shared" si="4"/>
        <v>20</v>
      </c>
      <c r="V13" s="29">
        <f t="shared" si="4"/>
        <v>20</v>
      </c>
      <c r="W13" s="29">
        <f t="shared" si="4"/>
        <v>20</v>
      </c>
      <c r="X13" s="29">
        <f t="shared" si="4"/>
        <v>20</v>
      </c>
      <c r="Y13" s="29">
        <f t="shared" si="4"/>
        <v>20</v>
      </c>
      <c r="Z13" s="29">
        <f t="shared" si="4"/>
        <v>20</v>
      </c>
      <c r="AA13" s="29">
        <f t="shared" si="4"/>
        <v>20</v>
      </c>
      <c r="AB13" s="29">
        <f t="shared" si="4"/>
        <v>20</v>
      </c>
      <c r="AC13" s="29">
        <f t="shared" si="4"/>
        <v>20</v>
      </c>
      <c r="AD13" s="7" t="s">
        <v>57</v>
      </c>
      <c r="AL13" s="226"/>
    </row>
    <row r="14" spans="1:38" ht="15.95" customHeight="1" x14ac:dyDescent="0.15">
      <c r="B14" s="346" t="s">
        <v>172</v>
      </c>
      <c r="C14" s="288" t="s">
        <v>171</v>
      </c>
      <c r="D14" s="7" t="s">
        <v>94</v>
      </c>
      <c r="E14" s="30">
        <f>流入水量!D3</f>
        <v>4060</v>
      </c>
      <c r="F14" s="30">
        <f>流入水量!E3</f>
        <v>4046.37</v>
      </c>
      <c r="G14" s="30">
        <f>流入水量!F3</f>
        <v>4030.13</v>
      </c>
      <c r="H14" s="30">
        <f>流入水量!G3</f>
        <v>4011.28</v>
      </c>
      <c r="I14" s="30">
        <f>流入水量!H3</f>
        <v>3989.53</v>
      </c>
      <c r="J14" s="30">
        <f>流入水量!I3</f>
        <v>3965.17</v>
      </c>
      <c r="K14" s="30">
        <f>流入水量!J3</f>
        <v>3938.2</v>
      </c>
      <c r="L14" s="30">
        <f>流入水量!K3</f>
        <v>3908.33</v>
      </c>
      <c r="M14" s="30">
        <f>流入水量!L3</f>
        <v>3875.85</v>
      </c>
      <c r="N14" s="30">
        <f>流入水量!M3</f>
        <v>3840.76</v>
      </c>
      <c r="O14" s="30">
        <f>流入水量!N3</f>
        <v>3802.77</v>
      </c>
      <c r="P14" s="30">
        <f>流入水量!O3</f>
        <v>3762.17</v>
      </c>
      <c r="Q14" s="30">
        <f>流入水量!P3</f>
        <v>3718.96</v>
      </c>
      <c r="R14" s="30">
        <f>流入水量!Q3</f>
        <v>3672.85</v>
      </c>
      <c r="S14" s="30">
        <f>流入水量!R3</f>
        <v>3624.13</v>
      </c>
      <c r="T14" s="30">
        <f>流入水量!S3</f>
        <v>3572.8</v>
      </c>
      <c r="U14" s="30">
        <f>流入水量!T3</f>
        <v>3518.57</v>
      </c>
      <c r="V14" s="30">
        <f>流入水量!U3</f>
        <v>3461.73</v>
      </c>
      <c r="W14" s="30">
        <f>流入水量!V3</f>
        <v>3402.28</v>
      </c>
      <c r="X14" s="30">
        <f>流入水量!W3</f>
        <v>3339.93</v>
      </c>
      <c r="Y14" s="30">
        <f>流入水量!X3</f>
        <v>3274.97</v>
      </c>
      <c r="Z14" s="30">
        <f>流入水量!Y3</f>
        <v>3207.4</v>
      </c>
      <c r="AA14" s="30">
        <f>流入水量!Z3</f>
        <v>3136.93</v>
      </c>
      <c r="AB14" s="30">
        <f>流入水量!AA3</f>
        <v>3063.85</v>
      </c>
      <c r="AC14" s="30">
        <f>流入水量!AB3</f>
        <v>2988.16</v>
      </c>
      <c r="AD14" s="7" t="s">
        <v>57</v>
      </c>
      <c r="AL14" s="226"/>
    </row>
    <row r="15" spans="1:38" ht="15.95" customHeight="1" x14ac:dyDescent="0.15">
      <c r="B15" s="346"/>
      <c r="C15" s="282"/>
      <c r="D15" s="96" t="s">
        <v>98</v>
      </c>
      <c r="E15" s="13">
        <f>ROUND(流入水量!D4,1)</f>
        <v>16.600000000000001</v>
      </c>
      <c r="F15" s="13">
        <f>ROUND(流入水量!E4,1)</f>
        <v>16.600000000000001</v>
      </c>
      <c r="G15" s="13">
        <f>ROUND(流入水量!F4,1)</f>
        <v>16.600000000000001</v>
      </c>
      <c r="H15" s="13">
        <f>ROUND(流入水量!G4,1)</f>
        <v>16.600000000000001</v>
      </c>
      <c r="I15" s="13">
        <f>ROUND(流入水量!H4,1)</f>
        <v>16.600000000000001</v>
      </c>
      <c r="J15" s="13">
        <f>ROUND(流入水量!I4,1)</f>
        <v>16.5</v>
      </c>
      <c r="K15" s="13">
        <f>ROUND(流入水量!J4,1)</f>
        <v>16.5</v>
      </c>
      <c r="L15" s="13">
        <f>ROUND(流入水量!K4,1)</f>
        <v>16.399999999999999</v>
      </c>
      <c r="M15" s="13">
        <f>ROUND(流入水量!L4,1)</f>
        <v>16.3</v>
      </c>
      <c r="N15" s="13">
        <f>ROUND(流入水量!M4,1)</f>
        <v>16.2</v>
      </c>
      <c r="O15" s="13">
        <f>ROUND(流入水量!N4,1)</f>
        <v>16.100000000000001</v>
      </c>
      <c r="P15" s="13">
        <f>ROUND(流入水量!O4,1)</f>
        <v>16</v>
      </c>
      <c r="Q15" s="13">
        <f>ROUND(流入水量!P4,1)</f>
        <v>15.9</v>
      </c>
      <c r="R15" s="13">
        <f>ROUND(流入水量!Q4,1)</f>
        <v>15.7</v>
      </c>
      <c r="S15" s="13">
        <f>ROUND(流入水量!R4,1)</f>
        <v>15.6</v>
      </c>
      <c r="T15" s="13">
        <f>ROUND(流入水量!S4,1)</f>
        <v>15.4</v>
      </c>
      <c r="U15" s="13">
        <f>ROUND(流入水量!T4,1)</f>
        <v>15.2</v>
      </c>
      <c r="V15" s="13">
        <f>ROUND(流入水量!U4,1)</f>
        <v>15</v>
      </c>
      <c r="W15" s="13">
        <f>ROUND(流入水量!V4,1)</f>
        <v>14.8</v>
      </c>
      <c r="X15" s="13">
        <f>ROUND(流入水量!W4,1)</f>
        <v>14.6</v>
      </c>
      <c r="Y15" s="13">
        <f>ROUND(流入水量!X4,1)</f>
        <v>14.4</v>
      </c>
      <c r="Z15" s="13">
        <f>ROUND(流入水量!Y4,1)</f>
        <v>14.1</v>
      </c>
      <c r="AA15" s="13">
        <f>ROUND(流入水量!Z4,1)</f>
        <v>13.9</v>
      </c>
      <c r="AB15" s="13">
        <f>ROUND(流入水量!AA4,1)</f>
        <v>13.6</v>
      </c>
      <c r="AC15" s="13">
        <f>ROUND(流入水量!AB4,1)</f>
        <v>13.3</v>
      </c>
      <c r="AD15" s="7" t="s">
        <v>57</v>
      </c>
      <c r="AL15" s="226"/>
    </row>
    <row r="16" spans="1:38" ht="15.95" customHeight="1" x14ac:dyDescent="0.15">
      <c r="B16" s="346" t="s">
        <v>173</v>
      </c>
      <c r="C16" s="282" t="s">
        <v>8</v>
      </c>
      <c r="D16" s="7" t="s">
        <v>94</v>
      </c>
      <c r="E16" s="31">
        <f t="shared" ref="E16:AC16" si="5">E14/E12</f>
        <v>0.45111111111111113</v>
      </c>
      <c r="F16" s="31">
        <f t="shared" si="5"/>
        <v>0.44959666666666664</v>
      </c>
      <c r="G16" s="31">
        <f t="shared" si="5"/>
        <v>0.44779222222222226</v>
      </c>
      <c r="H16" s="31">
        <f t="shared" si="5"/>
        <v>0.4456977777777778</v>
      </c>
      <c r="I16" s="31">
        <f t="shared" si="5"/>
        <v>0.44328111111111113</v>
      </c>
      <c r="J16" s="31">
        <f t="shared" si="5"/>
        <v>0.44057444444444444</v>
      </c>
      <c r="K16" s="31">
        <f t="shared" si="5"/>
        <v>0.43757777777777773</v>
      </c>
      <c r="L16" s="31">
        <f t="shared" si="5"/>
        <v>0.43425888888888886</v>
      </c>
      <c r="M16" s="31">
        <f t="shared" si="5"/>
        <v>0.43064999999999998</v>
      </c>
      <c r="N16" s="31">
        <f t="shared" si="5"/>
        <v>0.42675111111111114</v>
      </c>
      <c r="O16" s="31">
        <f t="shared" si="5"/>
        <v>0.42253000000000002</v>
      </c>
      <c r="P16" s="31">
        <f t="shared" si="5"/>
        <v>0.68403090909090913</v>
      </c>
      <c r="Q16" s="31">
        <f t="shared" si="5"/>
        <v>0.67617454545454547</v>
      </c>
      <c r="R16" s="31">
        <f t="shared" si="5"/>
        <v>0.6677909090909091</v>
      </c>
      <c r="S16" s="31">
        <f t="shared" si="5"/>
        <v>0.65893272727272734</v>
      </c>
      <c r="T16" s="31">
        <f t="shared" si="5"/>
        <v>0.64960000000000007</v>
      </c>
      <c r="U16" s="31">
        <f t="shared" si="5"/>
        <v>0.63973999999999998</v>
      </c>
      <c r="V16" s="31">
        <f t="shared" si="5"/>
        <v>0.6294054545454546</v>
      </c>
      <c r="W16" s="31">
        <f t="shared" si="5"/>
        <v>0.61859636363636372</v>
      </c>
      <c r="X16" s="31">
        <f t="shared" si="5"/>
        <v>0.60726000000000002</v>
      </c>
      <c r="Y16" s="31">
        <f t="shared" si="5"/>
        <v>0.59544909090909093</v>
      </c>
      <c r="Z16" s="31">
        <f t="shared" si="5"/>
        <v>0.58316363636363633</v>
      </c>
      <c r="AA16" s="31">
        <f t="shared" si="5"/>
        <v>0.57035090909090902</v>
      </c>
      <c r="AB16" s="31">
        <f t="shared" si="5"/>
        <v>0.55706363636363632</v>
      </c>
      <c r="AC16" s="31">
        <f t="shared" si="5"/>
        <v>0.54330181818181811</v>
      </c>
      <c r="AD16" s="7" t="s">
        <v>57</v>
      </c>
      <c r="AL16" s="226"/>
    </row>
    <row r="17" spans="1:38" ht="15.95" customHeight="1" x14ac:dyDescent="0.15">
      <c r="B17" s="346"/>
      <c r="C17" s="282"/>
      <c r="D17" s="96" t="s">
        <v>98</v>
      </c>
      <c r="E17" s="31">
        <f t="shared" ref="E17:AC17" si="6">E15/E13</f>
        <v>0.66400000000000003</v>
      </c>
      <c r="F17" s="31">
        <f t="shared" si="6"/>
        <v>0.66400000000000003</v>
      </c>
      <c r="G17" s="31">
        <f t="shared" si="6"/>
        <v>0.66400000000000003</v>
      </c>
      <c r="H17" s="31">
        <f t="shared" si="6"/>
        <v>0.66400000000000003</v>
      </c>
      <c r="I17" s="31">
        <f t="shared" si="6"/>
        <v>0.66400000000000003</v>
      </c>
      <c r="J17" s="31">
        <f t="shared" si="6"/>
        <v>0.82499999999999996</v>
      </c>
      <c r="K17" s="31">
        <f t="shared" si="6"/>
        <v>0.82499999999999996</v>
      </c>
      <c r="L17" s="31">
        <f t="shared" si="6"/>
        <v>0.82</v>
      </c>
      <c r="M17" s="31">
        <f t="shared" si="6"/>
        <v>0.81500000000000006</v>
      </c>
      <c r="N17" s="31">
        <f t="shared" si="6"/>
        <v>0.80999999999999994</v>
      </c>
      <c r="O17" s="31">
        <f t="shared" si="6"/>
        <v>0.80500000000000005</v>
      </c>
      <c r="P17" s="31">
        <f t="shared" si="6"/>
        <v>0.8</v>
      </c>
      <c r="Q17" s="31">
        <f t="shared" si="6"/>
        <v>0.79500000000000004</v>
      </c>
      <c r="R17" s="31">
        <f t="shared" si="6"/>
        <v>0.78499999999999992</v>
      </c>
      <c r="S17" s="31">
        <f t="shared" si="6"/>
        <v>0.78</v>
      </c>
      <c r="T17" s="31">
        <f t="shared" si="6"/>
        <v>0.77</v>
      </c>
      <c r="U17" s="31">
        <f t="shared" si="6"/>
        <v>0.76</v>
      </c>
      <c r="V17" s="31">
        <f t="shared" si="6"/>
        <v>0.75</v>
      </c>
      <c r="W17" s="31">
        <f t="shared" si="6"/>
        <v>0.74</v>
      </c>
      <c r="X17" s="31">
        <f t="shared" si="6"/>
        <v>0.73</v>
      </c>
      <c r="Y17" s="31">
        <f t="shared" si="6"/>
        <v>0.72</v>
      </c>
      <c r="Z17" s="31">
        <f t="shared" si="6"/>
        <v>0.70499999999999996</v>
      </c>
      <c r="AA17" s="31">
        <f t="shared" si="6"/>
        <v>0.69500000000000006</v>
      </c>
      <c r="AB17" s="31">
        <f t="shared" si="6"/>
        <v>0.67999999999999994</v>
      </c>
      <c r="AC17" s="31">
        <f t="shared" si="6"/>
        <v>0.66500000000000004</v>
      </c>
      <c r="AD17" s="7" t="s">
        <v>57</v>
      </c>
      <c r="AL17" s="226"/>
    </row>
    <row r="18" spans="1:38" ht="15.95" customHeight="1" x14ac:dyDescent="0.15">
      <c r="B18" s="354" t="s">
        <v>174</v>
      </c>
      <c r="C18" s="288" t="s">
        <v>57</v>
      </c>
      <c r="D18" s="7" t="s">
        <v>94</v>
      </c>
      <c r="E18" s="110">
        <v>1</v>
      </c>
      <c r="F18" s="110">
        <f t="shared" ref="F18:O18" si="7">$P$5*(F16*100)^$Q$5/$R$5</f>
        <v>1.0032908495138475</v>
      </c>
      <c r="G18" s="110">
        <f t="shared" si="7"/>
        <v>1.0072405874931165</v>
      </c>
      <c r="H18" s="110">
        <f t="shared" si="7"/>
        <v>1.0118647461317642</v>
      </c>
      <c r="I18" s="110">
        <f t="shared" si="7"/>
        <v>1.0172539842928507</v>
      </c>
      <c r="J18" s="110">
        <f t="shared" si="7"/>
        <v>1.0233593096889433</v>
      </c>
      <c r="K18" s="110">
        <f t="shared" si="7"/>
        <v>1.0302058593442842</v>
      </c>
      <c r="L18" s="110">
        <f t="shared" si="7"/>
        <v>1.0378975977002818</v>
      </c>
      <c r="M18" s="110">
        <f t="shared" si="7"/>
        <v>1.0463944172229152</v>
      </c>
      <c r="N18" s="110">
        <f t="shared" si="7"/>
        <v>1.0557336389261469</v>
      </c>
      <c r="O18" s="110">
        <f t="shared" si="7"/>
        <v>1.0660367511389208</v>
      </c>
      <c r="P18" s="111">
        <v>1</v>
      </c>
      <c r="Q18" s="110">
        <f>$P$5*(Q16*100)^$Q$5/$S$5</f>
        <v>1.0113500955737715</v>
      </c>
      <c r="R18" s="110">
        <f t="shared" ref="R18:AC18" si="8">$P$5*(R16*100)^$Q$5/$S$5</f>
        <v>1.0237530621984705</v>
      </c>
      <c r="S18" s="110">
        <f t="shared" si="8"/>
        <v>1.037196998600511</v>
      </c>
      <c r="T18" s="110">
        <f t="shared" si="8"/>
        <v>1.0517531633699417</v>
      </c>
      <c r="U18" s="110">
        <f t="shared" si="8"/>
        <v>1.0675876948663043</v>
      </c>
      <c r="V18" s="110">
        <f t="shared" si="8"/>
        <v>1.084710599695708</v>
      </c>
      <c r="W18" s="110">
        <f t="shared" si="8"/>
        <v>1.1032247374818855</v>
      </c>
      <c r="X18" s="110">
        <f t="shared" si="8"/>
        <v>1.1233418196973615</v>
      </c>
      <c r="Y18" s="110">
        <f t="shared" si="8"/>
        <v>1.1451062231587013</v>
      </c>
      <c r="Z18" s="110">
        <f t="shared" si="8"/>
        <v>1.168669552410184</v>
      </c>
      <c r="AA18" s="110">
        <f t="shared" si="8"/>
        <v>1.1943128797085893</v>
      </c>
      <c r="AB18" s="110">
        <f t="shared" si="8"/>
        <v>1.2221372620524902</v>
      </c>
      <c r="AC18" s="110">
        <f t="shared" si="8"/>
        <v>1.2523732218909704</v>
      </c>
      <c r="AD18" s="7" t="s">
        <v>57</v>
      </c>
      <c r="AL18" s="226"/>
    </row>
    <row r="19" spans="1:38" ht="15.95" customHeight="1" x14ac:dyDescent="0.15">
      <c r="B19" s="346"/>
      <c r="C19" s="288"/>
      <c r="D19" s="96" t="s">
        <v>98</v>
      </c>
      <c r="E19" s="110">
        <v>1</v>
      </c>
      <c r="F19" s="110">
        <f t="shared" ref="F19:I19" si="9">$P$6*(F17*100)^$Q$6/$R$6</f>
        <v>1</v>
      </c>
      <c r="G19" s="110">
        <f t="shared" si="9"/>
        <v>1</v>
      </c>
      <c r="H19" s="110">
        <f t="shared" si="9"/>
        <v>1</v>
      </c>
      <c r="I19" s="110">
        <f t="shared" si="9"/>
        <v>1</v>
      </c>
      <c r="J19" s="111">
        <v>1</v>
      </c>
      <c r="K19" s="110">
        <f>$P$6*(K17*100)^$Q$6/$S$6</f>
        <v>1</v>
      </c>
      <c r="L19" s="110">
        <f t="shared" ref="L19:AC19" si="10">$P$6*(L17*100)^$Q$6/$S$6</f>
        <v>1.0056389570215611</v>
      </c>
      <c r="M19" s="110">
        <f t="shared" si="10"/>
        <v>1.011344493815804</v>
      </c>
      <c r="N19" s="110">
        <f t="shared" si="10"/>
        <v>1.0171178122404161</v>
      </c>
      <c r="O19" s="110">
        <f t="shared" si="10"/>
        <v>1.0229601434462465</v>
      </c>
      <c r="P19" s="110">
        <f t="shared" si="10"/>
        <v>1.0288727487787706</v>
      </c>
      <c r="Q19" s="110">
        <f t="shared" si="10"/>
        <v>1.0348569207131477</v>
      </c>
      <c r="R19" s="110">
        <f t="shared" si="10"/>
        <v>1.0470452957937835</v>
      </c>
      <c r="S19" s="110">
        <f t="shared" si="10"/>
        <v>1.0532522484544065</v>
      </c>
      <c r="T19" s="110">
        <f t="shared" si="10"/>
        <v>1.0658988204890103</v>
      </c>
      <c r="U19" s="110">
        <f t="shared" si="10"/>
        <v>1.0788655599039809</v>
      </c>
      <c r="V19" s="110">
        <f t="shared" si="10"/>
        <v>1.0921649470403498</v>
      </c>
      <c r="W19" s="110">
        <f t="shared" si="10"/>
        <v>1.1058101238715166</v>
      </c>
      <c r="X19" s="110">
        <f t="shared" si="10"/>
        <v>1.1198149386181642</v>
      </c>
      <c r="Y19" s="110">
        <f t="shared" si="10"/>
        <v>1.1341939940327055</v>
      </c>
      <c r="Z19" s="110">
        <f t="shared" si="10"/>
        <v>1.1564982213840205</v>
      </c>
      <c r="AA19" s="110">
        <f t="shared" si="10"/>
        <v>1.1718822012356123</v>
      </c>
      <c r="AB19" s="110">
        <f t="shared" si="10"/>
        <v>1.1957741430029176</v>
      </c>
      <c r="AC19" s="110">
        <f t="shared" si="10"/>
        <v>1.2207026306837194</v>
      </c>
      <c r="AD19" s="7" t="s">
        <v>57</v>
      </c>
      <c r="AL19" s="226"/>
    </row>
    <row r="20" spans="1:38" ht="15.95" customHeight="1" x14ac:dyDescent="0.15">
      <c r="A20" t="s">
        <v>324</v>
      </c>
      <c r="B20" s="354" t="s">
        <v>175</v>
      </c>
      <c r="C20" s="288" t="s">
        <v>176</v>
      </c>
      <c r="D20" s="7" t="s">
        <v>94</v>
      </c>
      <c r="E20" s="112">
        <f t="shared" ref="E20:O20" si="11">E14*E18*$C5*365/1000000</f>
        <v>111.1425</v>
      </c>
      <c r="F20" s="112">
        <f t="shared" si="11"/>
        <v>111.13390410620862</v>
      </c>
      <c r="G20" s="112">
        <f t="shared" si="11"/>
        <v>111.12362518041571</v>
      </c>
      <c r="H20" s="112">
        <f t="shared" si="11"/>
        <v>111.11164341638622</v>
      </c>
      <c r="I20" s="112">
        <f t="shared" si="11"/>
        <v>111.09774975779159</v>
      </c>
      <c r="J20" s="112">
        <f t="shared" si="11"/>
        <v>111.08210073073104</v>
      </c>
      <c r="K20" s="112">
        <f t="shared" si="11"/>
        <v>111.06466508050694</v>
      </c>
      <c r="L20" s="112">
        <f t="shared" si="11"/>
        <v>111.04521795579592</v>
      </c>
      <c r="M20" s="112">
        <f t="shared" si="11"/>
        <v>111.02390607957031</v>
      </c>
      <c r="N20" s="112">
        <f t="shared" si="11"/>
        <v>111.00068466227444</v>
      </c>
      <c r="O20" s="112">
        <f t="shared" si="11"/>
        <v>110.97530927151917</v>
      </c>
      <c r="P20" s="116">
        <f>P14*P18*$D5*365/1000000</f>
        <v>65.913218400000005</v>
      </c>
      <c r="Q20" s="117">
        <f t="shared" ref="Q20:AC20" si="12">Q14*Q18*$D5*365/1000000</f>
        <v>65.895708061141789</v>
      </c>
      <c r="R20" s="117">
        <f t="shared" si="12"/>
        <v>65.876801932363819</v>
      </c>
      <c r="S20" s="117">
        <f t="shared" si="12"/>
        <v>65.856572009586984</v>
      </c>
      <c r="T20" s="117">
        <f t="shared" si="12"/>
        <v>65.834968860583999</v>
      </c>
      <c r="U20" s="117">
        <f t="shared" si="12"/>
        <v>65.811813262410837</v>
      </c>
      <c r="V20" s="117">
        <f t="shared" si="12"/>
        <v>65.78716592946661</v>
      </c>
      <c r="W20" s="117">
        <f t="shared" si="12"/>
        <v>65.760960136394516</v>
      </c>
      <c r="X20" s="117">
        <f t="shared" si="12"/>
        <v>65.732990928458889</v>
      </c>
      <c r="Y20" s="117">
        <f t="shared" si="12"/>
        <v>65.703303004569065</v>
      </c>
      <c r="Z20" s="117">
        <f t="shared" si="12"/>
        <v>65.671805456455431</v>
      </c>
      <c r="AA20" s="117">
        <f t="shared" si="12"/>
        <v>65.638257798559522</v>
      </c>
      <c r="AB20" s="117">
        <f t="shared" si="12"/>
        <v>65.602680785948422</v>
      </c>
      <c r="AC20" s="117">
        <f t="shared" si="12"/>
        <v>65.564948249034657</v>
      </c>
      <c r="AD20" s="30">
        <f t="shared" ref="AD20:AD24" si="13">SUM(E20:AC20)</f>
        <v>2142.4525010561747</v>
      </c>
      <c r="AL20" s="226"/>
    </row>
    <row r="21" spans="1:38" ht="15.95" customHeight="1" x14ac:dyDescent="0.15">
      <c r="A21" s="270" t="s">
        <v>328</v>
      </c>
      <c r="B21" s="346"/>
      <c r="C21" s="288"/>
      <c r="D21" s="96" t="s">
        <v>98</v>
      </c>
      <c r="E21" s="113">
        <f>E15*E19*$C6*365/1000000</f>
        <v>109.062</v>
      </c>
      <c r="F21" s="113">
        <f>F15*F19*$C6*365/1000000</f>
        <v>109.062</v>
      </c>
      <c r="G21" s="113">
        <f>G15*G19*$C6*365/1000000</f>
        <v>109.062</v>
      </c>
      <c r="H21" s="113">
        <f>H15*H19*$C6*365/1000000</f>
        <v>109.062</v>
      </c>
      <c r="I21" s="113">
        <f>I15*I19*$C6*365/1000000</f>
        <v>109.062</v>
      </c>
      <c r="J21" s="114">
        <f>J15*J19*$D6*365/1000000</f>
        <v>98.424598036870506</v>
      </c>
      <c r="K21" s="113">
        <f t="shared" ref="K21:O21" si="14">K15*K19*$D6*365/1000000</f>
        <v>98.424598036870506</v>
      </c>
      <c r="L21" s="113">
        <f t="shared" si="14"/>
        <v>98.379733690125079</v>
      </c>
      <c r="M21" s="113">
        <f t="shared" si="14"/>
        <v>98.334615580251594</v>
      </c>
      <c r="N21" s="113">
        <f t="shared" si="14"/>
        <v>98.289240701796743</v>
      </c>
      <c r="O21" s="113">
        <f t="shared" si="14"/>
        <v>98.243605994886281</v>
      </c>
      <c r="P21" s="113">
        <f t="shared" ref="P21:AC21" si="15">P15*P19*$D6*365/1000000</f>
        <v>98.197708343893865</v>
      </c>
      <c r="Q21" s="113">
        <f t="shared" si="15"/>
        <v>98.151544576070052</v>
      </c>
      <c r="R21" s="113">
        <f t="shared" si="15"/>
        <v>98.058405704782999</v>
      </c>
      <c r="S21" s="113">
        <f t="shared" si="15"/>
        <v>98.011423957252021</v>
      </c>
      <c r="T21" s="113">
        <f t="shared" si="15"/>
        <v>97.916618757631554</v>
      </c>
      <c r="U21" s="113">
        <f t="shared" si="15"/>
        <v>97.820667748755326</v>
      </c>
      <c r="V21" s="113">
        <f t="shared" si="15"/>
        <v>97.723541729460379</v>
      </c>
      <c r="W21" s="113">
        <f t="shared" si="15"/>
        <v>97.625210352600547</v>
      </c>
      <c r="X21" s="113">
        <f t="shared" si="15"/>
        <v>97.525642063876617</v>
      </c>
      <c r="Y21" s="113">
        <f t="shared" si="15"/>
        <v>97.424804036510622</v>
      </c>
      <c r="Z21" s="113">
        <f t="shared" si="15"/>
        <v>97.271091105339309</v>
      </c>
      <c r="AA21" s="113">
        <f t="shared" si="15"/>
        <v>97.166926120253081</v>
      </c>
      <c r="AB21" s="113">
        <f t="shared" si="15"/>
        <v>97.008049418427817</v>
      </c>
      <c r="AC21" s="113">
        <f t="shared" si="15"/>
        <v>96.84589723897092</v>
      </c>
      <c r="AD21" s="30">
        <f t="shared" si="13"/>
        <v>2502.1539231946253</v>
      </c>
      <c r="AL21" s="226"/>
    </row>
    <row r="22" spans="1:38" ht="15.95" customHeight="1" x14ac:dyDescent="0.15">
      <c r="A22" t="s">
        <v>325</v>
      </c>
      <c r="B22" s="354" t="s">
        <v>177</v>
      </c>
      <c r="C22" s="288"/>
      <c r="D22" s="7" t="s">
        <v>94</v>
      </c>
      <c r="E22" s="4"/>
      <c r="F22" s="4"/>
      <c r="G22" s="4"/>
      <c r="H22" s="4"/>
      <c r="I22" s="4"/>
      <c r="J22" s="4"/>
      <c r="K22" s="4"/>
      <c r="L22" s="4"/>
      <c r="M22" s="4"/>
      <c r="N22" s="4"/>
      <c r="O22" s="218">
        <f>$J$5*(P12)^$K$5/1000*(1+23.8/33.4)</f>
        <v>1169.1798809010888</v>
      </c>
      <c r="P22" s="49"/>
      <c r="Q22" s="30"/>
      <c r="R22" s="4"/>
      <c r="S22" s="4"/>
      <c r="T22" s="4"/>
      <c r="U22" s="4"/>
      <c r="V22" s="4"/>
      <c r="W22" s="4"/>
      <c r="X22" s="4"/>
      <c r="Y22" s="4"/>
      <c r="Z22" s="4"/>
      <c r="AA22" s="4"/>
      <c r="AB22" s="4"/>
      <c r="AC22" s="4"/>
      <c r="AD22" s="30">
        <f t="shared" si="13"/>
        <v>1169.1798809010888</v>
      </c>
      <c r="AL22" s="226"/>
    </row>
    <row r="23" spans="1:38" ht="15.95" customHeight="1" x14ac:dyDescent="0.15">
      <c r="A23" s="270" t="s">
        <v>330</v>
      </c>
      <c r="B23" s="346"/>
      <c r="C23" s="288"/>
      <c r="D23" s="96" t="s">
        <v>98</v>
      </c>
      <c r="E23" s="4"/>
      <c r="F23" s="4"/>
      <c r="G23" s="4"/>
      <c r="H23" s="4"/>
      <c r="I23" s="277">
        <f>$J$6*(J13)^$K$6/1000</f>
        <v>1084.5755489729602</v>
      </c>
      <c r="J23" s="49"/>
      <c r="K23" s="30"/>
      <c r="L23" s="4"/>
      <c r="M23" s="4"/>
      <c r="N23" s="4"/>
      <c r="O23" s="4"/>
      <c r="P23" s="4"/>
      <c r="Q23" s="4"/>
      <c r="R23" s="4"/>
      <c r="S23" s="4"/>
      <c r="T23" s="4"/>
      <c r="U23" s="4"/>
      <c r="V23" s="4"/>
      <c r="W23" s="4"/>
      <c r="X23" s="4"/>
      <c r="Y23" s="4"/>
      <c r="Z23" s="4"/>
      <c r="AA23" s="4"/>
      <c r="AB23" s="4"/>
      <c r="AC23" s="4"/>
      <c r="AD23" s="30">
        <f t="shared" si="13"/>
        <v>1084.5755489729602</v>
      </c>
      <c r="AF23" s="97"/>
      <c r="AL23" s="226"/>
    </row>
    <row r="24" spans="1:38" ht="15.95" customHeight="1" x14ac:dyDescent="0.15">
      <c r="B24" s="230" t="s">
        <v>178</v>
      </c>
      <c r="C24" s="288"/>
      <c r="D24" s="12" t="s">
        <v>57</v>
      </c>
      <c r="E24" s="30">
        <f>SUM(E20:E23)</f>
        <v>220.2045</v>
      </c>
      <c r="F24" s="30">
        <f t="shared" ref="F24:AC24" si="16">SUM(F20:F23)</f>
        <v>220.19590410620862</v>
      </c>
      <c r="G24" s="30">
        <f t="shared" si="16"/>
        <v>220.18562518041571</v>
      </c>
      <c r="H24" s="30">
        <f t="shared" si="16"/>
        <v>220.1736434163862</v>
      </c>
      <c r="I24" s="30">
        <f t="shared" si="16"/>
        <v>1304.7352987307518</v>
      </c>
      <c r="J24" s="30">
        <f t="shared" si="16"/>
        <v>209.50669876760156</v>
      </c>
      <c r="K24" s="30">
        <f t="shared" si="16"/>
        <v>209.48926311737745</v>
      </c>
      <c r="L24" s="30">
        <f t="shared" si="16"/>
        <v>209.424951645921</v>
      </c>
      <c r="M24" s="30">
        <f t="shared" si="16"/>
        <v>209.35852165982192</v>
      </c>
      <c r="N24" s="30">
        <f t="shared" si="16"/>
        <v>209.28992536407117</v>
      </c>
      <c r="O24" s="30">
        <f t="shared" si="16"/>
        <v>1378.3987961674943</v>
      </c>
      <c r="P24" s="30">
        <f t="shared" si="16"/>
        <v>164.11092674389386</v>
      </c>
      <c r="Q24" s="30">
        <f t="shared" si="16"/>
        <v>164.04725263721184</v>
      </c>
      <c r="R24" s="30">
        <f t="shared" si="16"/>
        <v>163.93520763714682</v>
      </c>
      <c r="S24" s="30">
        <f t="shared" si="16"/>
        <v>163.867995966839</v>
      </c>
      <c r="T24" s="30">
        <f t="shared" si="16"/>
        <v>163.75158761821555</v>
      </c>
      <c r="U24" s="30">
        <f t="shared" si="16"/>
        <v>163.63248101116616</v>
      </c>
      <c r="V24" s="30">
        <f t="shared" si="16"/>
        <v>163.510707658927</v>
      </c>
      <c r="W24" s="30">
        <f t="shared" si="16"/>
        <v>163.38617048899505</v>
      </c>
      <c r="X24" s="30">
        <f t="shared" si="16"/>
        <v>163.25863299233549</v>
      </c>
      <c r="Y24" s="30">
        <f t="shared" si="16"/>
        <v>163.12810704107969</v>
      </c>
      <c r="Z24" s="30">
        <f t="shared" si="16"/>
        <v>162.94289656179473</v>
      </c>
      <c r="AA24" s="30">
        <f t="shared" si="16"/>
        <v>162.80518391881259</v>
      </c>
      <c r="AB24" s="30">
        <f t="shared" si="16"/>
        <v>162.61073020437624</v>
      </c>
      <c r="AC24" s="30">
        <f t="shared" si="16"/>
        <v>162.41084548800558</v>
      </c>
      <c r="AD24" s="30">
        <f t="shared" si="13"/>
        <v>6898.3618541248497</v>
      </c>
      <c r="AL24" s="226"/>
    </row>
    <row r="25" spans="1:38" ht="15.95" customHeight="1" x14ac:dyDescent="0.15">
      <c r="A25" t="s">
        <v>326</v>
      </c>
      <c r="B25" s="230" t="s">
        <v>179</v>
      </c>
      <c r="C25" s="288"/>
      <c r="D25" s="12" t="s">
        <v>57</v>
      </c>
      <c r="E25" s="30">
        <f>E24</f>
        <v>220.2045</v>
      </c>
      <c r="F25" s="30">
        <f>E25+F24</f>
        <v>440.40040410620861</v>
      </c>
      <c r="G25" s="30">
        <f t="shared" ref="G25:AC25" si="17">F25+G24</f>
        <v>660.58602928662435</v>
      </c>
      <c r="H25" s="30">
        <f t="shared" si="17"/>
        <v>880.75967270301055</v>
      </c>
      <c r="I25" s="30">
        <f t="shared" si="17"/>
        <v>2185.4949714337622</v>
      </c>
      <c r="J25" s="30">
        <f t="shared" si="17"/>
        <v>2395.0016702013636</v>
      </c>
      <c r="K25" s="30">
        <f t="shared" si="17"/>
        <v>2604.4909333187411</v>
      </c>
      <c r="L25" s="30">
        <f t="shared" si="17"/>
        <v>2813.9158849646619</v>
      </c>
      <c r="M25" s="30">
        <f t="shared" si="17"/>
        <v>3023.2744066244841</v>
      </c>
      <c r="N25" s="30">
        <f t="shared" si="17"/>
        <v>3232.5643319885553</v>
      </c>
      <c r="O25" s="30">
        <f t="shared" si="17"/>
        <v>4610.9631281560496</v>
      </c>
      <c r="P25" s="30">
        <f t="shared" si="17"/>
        <v>4775.0740548999438</v>
      </c>
      <c r="Q25" s="30">
        <f t="shared" si="17"/>
        <v>4939.1213075371561</v>
      </c>
      <c r="R25" s="30">
        <f t="shared" si="17"/>
        <v>5103.0565151743031</v>
      </c>
      <c r="S25" s="30">
        <f t="shared" si="17"/>
        <v>5266.9245111411419</v>
      </c>
      <c r="T25" s="30">
        <f t="shared" si="17"/>
        <v>5430.676098759357</v>
      </c>
      <c r="U25" s="30">
        <f t="shared" si="17"/>
        <v>5594.3085797705235</v>
      </c>
      <c r="V25" s="30">
        <f t="shared" si="17"/>
        <v>5757.8192874294509</v>
      </c>
      <c r="W25" s="30">
        <f t="shared" si="17"/>
        <v>5921.205457918446</v>
      </c>
      <c r="X25" s="30">
        <f t="shared" si="17"/>
        <v>6084.4640909107811</v>
      </c>
      <c r="Y25" s="30">
        <f t="shared" si="17"/>
        <v>6247.5921979518607</v>
      </c>
      <c r="Z25" s="30">
        <f t="shared" si="17"/>
        <v>6410.5350945136552</v>
      </c>
      <c r="AA25" s="30">
        <f t="shared" si="17"/>
        <v>6573.340278432468</v>
      </c>
      <c r="AB25" s="30">
        <f t="shared" si="17"/>
        <v>6735.9510086368446</v>
      </c>
      <c r="AC25" s="30">
        <f t="shared" si="17"/>
        <v>6898.3618541248497</v>
      </c>
      <c r="AD25" s="34">
        <f>AD24/COUNTA(E11:AC11)</f>
        <v>275.93447416499401</v>
      </c>
      <c r="AL25" s="226"/>
    </row>
    <row r="26" spans="1:38" x14ac:dyDescent="0.15">
      <c r="B26" t="s">
        <v>170</v>
      </c>
      <c r="C26" t="s">
        <v>180</v>
      </c>
      <c r="AD26" s="35" t="s">
        <v>181</v>
      </c>
      <c r="AL26" s="226"/>
    </row>
    <row r="27" spans="1:38" x14ac:dyDescent="0.15">
      <c r="B27" t="s">
        <v>172</v>
      </c>
      <c r="C27" t="s">
        <v>183</v>
      </c>
      <c r="AL27" s="226"/>
    </row>
    <row r="28" spans="1:38" x14ac:dyDescent="0.15">
      <c r="B28" t="s">
        <v>173</v>
      </c>
      <c r="C28" t="s">
        <v>184</v>
      </c>
      <c r="AL28" s="226"/>
    </row>
    <row r="29" spans="1:38" x14ac:dyDescent="0.15">
      <c r="B29" s="22" t="s">
        <v>174</v>
      </c>
      <c r="C29" s="23" t="s">
        <v>185</v>
      </c>
      <c r="AL29" s="226"/>
    </row>
    <row r="30" spans="1:38" ht="15.75" x14ac:dyDescent="0.15">
      <c r="B30" s="24" t="s">
        <v>175</v>
      </c>
      <c r="C30" s="98" t="s">
        <v>186</v>
      </c>
      <c r="AL30" s="226"/>
    </row>
    <row r="31" spans="1:38" x14ac:dyDescent="0.15">
      <c r="B31" s="22" t="s">
        <v>177</v>
      </c>
      <c r="C31" s="23" t="s">
        <v>335</v>
      </c>
      <c r="AL31" s="226"/>
    </row>
    <row r="32" spans="1:38" x14ac:dyDescent="0.15">
      <c r="B32" t="s">
        <v>178</v>
      </c>
      <c r="C32" t="s">
        <v>187</v>
      </c>
      <c r="AL32" s="226"/>
    </row>
    <row r="33" spans="2:38" x14ac:dyDescent="0.15">
      <c r="B33" t="s">
        <v>179</v>
      </c>
      <c r="C33" s="23" t="s">
        <v>188</v>
      </c>
      <c r="AL33" s="226"/>
    </row>
    <row r="55" spans="1:38" s="19" customFormat="1" ht="18.75" x14ac:dyDescent="0.15">
      <c r="F55" s="19" t="s">
        <v>189</v>
      </c>
    </row>
    <row r="56" spans="1:38" x14ac:dyDescent="0.15">
      <c r="A56" s="282" t="s">
        <v>85</v>
      </c>
      <c r="B56" s="282" t="s">
        <v>86</v>
      </c>
      <c r="C56" s="288" t="s">
        <v>143</v>
      </c>
      <c r="D56" s="288" t="s">
        <v>144</v>
      </c>
      <c r="Q56" s="46" t="s">
        <v>153</v>
      </c>
      <c r="R56" s="46" t="s">
        <v>153</v>
      </c>
    </row>
    <row r="57" spans="1:38" ht="13.5" customHeight="1" x14ac:dyDescent="0.15">
      <c r="A57" s="282"/>
      <c r="B57" s="282"/>
      <c r="C57" s="282"/>
      <c r="D57" s="301"/>
      <c r="Q57" s="115" t="s">
        <v>164</v>
      </c>
      <c r="R57" s="47" t="s">
        <v>165</v>
      </c>
    </row>
    <row r="58" spans="1:38" x14ac:dyDescent="0.15">
      <c r="A58" s="14" t="s">
        <v>94</v>
      </c>
      <c r="B58" s="14" t="s">
        <v>95</v>
      </c>
      <c r="C58" s="20">
        <f>維持管理費等!D12</f>
        <v>75</v>
      </c>
      <c r="D58" s="20">
        <f>ROUND(1000*(2468*P64^0.382)/((P70)*365),0)</f>
        <v>44</v>
      </c>
      <c r="E58" s="97"/>
      <c r="Q58" s="4">
        <f>$P$5*(E75*100)^$Q$5</f>
        <v>1.5342472491364942</v>
      </c>
      <c r="R58" s="4">
        <f>$P$5*(P75*100)^$Q$5</f>
        <v>1.0783687034230263</v>
      </c>
    </row>
    <row r="59" spans="1:38" x14ac:dyDescent="0.15">
      <c r="A59" s="7" t="s">
        <v>98</v>
      </c>
      <c r="B59" s="96" t="s">
        <v>166</v>
      </c>
      <c r="C59" s="21">
        <f>維持管理費等!D14</f>
        <v>18000</v>
      </c>
      <c r="D59" s="21">
        <f>1000*(6716*J66^0.2692)/(J68*365)</f>
        <v>2497.8776011130867</v>
      </c>
      <c r="Q59" s="4">
        <f>$P$6*(E76*100)^$Q$6</f>
        <v>1.281253539910463</v>
      </c>
      <c r="R59" s="4"/>
    </row>
    <row r="60" spans="1:38" x14ac:dyDescent="0.15">
      <c r="J60" t="s">
        <v>190</v>
      </c>
    </row>
    <row r="61" spans="1:38" x14ac:dyDescent="0.15">
      <c r="J61" s="68">
        <f>+希釈倍率!H11</f>
        <v>48</v>
      </c>
      <c r="K61" s="68">
        <f>+J61</f>
        <v>48</v>
      </c>
      <c r="L61" s="68">
        <f>+J61</f>
        <v>48</v>
      </c>
      <c r="M61" s="68">
        <f>+J61</f>
        <v>48</v>
      </c>
      <c r="N61" s="68">
        <f>+J61</f>
        <v>48</v>
      </c>
      <c r="O61" s="68">
        <f>+J61</f>
        <v>48</v>
      </c>
      <c r="P61" s="68">
        <f>+J61</f>
        <v>48</v>
      </c>
      <c r="Q61" s="68">
        <f>+J61</f>
        <v>48</v>
      </c>
      <c r="R61" s="68">
        <f>+J61</f>
        <v>48</v>
      </c>
      <c r="S61" s="68">
        <f>+J61</f>
        <v>48</v>
      </c>
      <c r="T61" s="68">
        <f>+J61</f>
        <v>48</v>
      </c>
      <c r="U61" s="68">
        <f>+J61</f>
        <v>48</v>
      </c>
      <c r="V61" s="68">
        <f>+J61</f>
        <v>48</v>
      </c>
      <c r="W61" s="68">
        <f>+J61</f>
        <v>48</v>
      </c>
      <c r="X61" s="68">
        <f>+J61</f>
        <v>48</v>
      </c>
      <c r="Y61" s="68">
        <f>+J61</f>
        <v>48</v>
      </c>
      <c r="Z61" s="68">
        <f>+J61</f>
        <v>48</v>
      </c>
      <c r="AA61" s="68">
        <f>+J61</f>
        <v>48</v>
      </c>
      <c r="AB61" s="68">
        <f>+J61</f>
        <v>48</v>
      </c>
      <c r="AC61" s="68">
        <f>+J61</f>
        <v>48</v>
      </c>
    </row>
    <row r="63" spans="1:38" x14ac:dyDescent="0.15">
      <c r="B63" s="7" t="s">
        <v>46</v>
      </c>
      <c r="C63" s="7" t="s">
        <v>2</v>
      </c>
      <c r="D63" s="7" t="s">
        <v>142</v>
      </c>
      <c r="E63" s="29">
        <v>1</v>
      </c>
      <c r="F63" s="29">
        <v>2</v>
      </c>
      <c r="G63" s="29">
        <v>3</v>
      </c>
      <c r="H63" s="29">
        <v>4</v>
      </c>
      <c r="I63" s="29">
        <v>5</v>
      </c>
      <c r="J63" s="29">
        <v>6</v>
      </c>
      <c r="K63" s="29">
        <v>7</v>
      </c>
      <c r="L63" s="29">
        <v>8</v>
      </c>
      <c r="M63" s="29">
        <v>9</v>
      </c>
      <c r="N63" s="29">
        <v>10</v>
      </c>
      <c r="O63" s="29">
        <v>11</v>
      </c>
      <c r="P63" s="29">
        <v>12</v>
      </c>
      <c r="Q63" s="29">
        <v>13</v>
      </c>
      <c r="R63" s="29">
        <v>14</v>
      </c>
      <c r="S63" s="29">
        <v>15</v>
      </c>
      <c r="T63" s="29">
        <v>16</v>
      </c>
      <c r="U63" s="29">
        <v>17</v>
      </c>
      <c r="V63" s="29">
        <v>18</v>
      </c>
      <c r="W63" s="29">
        <v>19</v>
      </c>
      <c r="X63" s="29">
        <v>20</v>
      </c>
      <c r="Y63" s="29">
        <v>21</v>
      </c>
      <c r="Z63" s="29">
        <v>22</v>
      </c>
      <c r="AA63" s="29">
        <v>23</v>
      </c>
      <c r="AB63" s="29">
        <v>24</v>
      </c>
      <c r="AC63" s="29">
        <v>25</v>
      </c>
      <c r="AD63" s="7" t="s">
        <v>141</v>
      </c>
      <c r="AL63" s="226"/>
    </row>
    <row r="64" spans="1:38" x14ac:dyDescent="0.15">
      <c r="B64" s="323" t="s">
        <v>170</v>
      </c>
      <c r="C64" s="325" t="s">
        <v>191</v>
      </c>
      <c r="D64" s="7" t="s">
        <v>94</v>
      </c>
      <c r="E64" s="108">
        <f t="shared" ref="E64:O64" si="18">$G$5</f>
        <v>9000</v>
      </c>
      <c r="F64" s="29">
        <f t="shared" si="18"/>
        <v>9000</v>
      </c>
      <c r="G64" s="29">
        <f t="shared" si="18"/>
        <v>9000</v>
      </c>
      <c r="H64" s="29">
        <f t="shared" si="18"/>
        <v>9000</v>
      </c>
      <c r="I64" s="29">
        <f t="shared" si="18"/>
        <v>9000</v>
      </c>
      <c r="J64" s="29">
        <f t="shared" si="18"/>
        <v>9000</v>
      </c>
      <c r="K64" s="29">
        <f t="shared" si="18"/>
        <v>9000</v>
      </c>
      <c r="L64" s="29">
        <f t="shared" si="18"/>
        <v>9000</v>
      </c>
      <c r="M64" s="29">
        <f t="shared" si="18"/>
        <v>9000</v>
      </c>
      <c r="N64" s="29">
        <f t="shared" si="18"/>
        <v>9000</v>
      </c>
      <c r="O64" s="29">
        <f t="shared" si="18"/>
        <v>9000</v>
      </c>
      <c r="P64" s="109">
        <f>$I$5</f>
        <v>7000</v>
      </c>
      <c r="Q64" s="29">
        <f t="shared" ref="Q64:AC64" si="19">$I$5</f>
        <v>7000</v>
      </c>
      <c r="R64" s="29">
        <f t="shared" si="19"/>
        <v>7000</v>
      </c>
      <c r="S64" s="29">
        <f t="shared" si="19"/>
        <v>7000</v>
      </c>
      <c r="T64" s="29">
        <f t="shared" si="19"/>
        <v>7000</v>
      </c>
      <c r="U64" s="29">
        <f t="shared" si="19"/>
        <v>7000</v>
      </c>
      <c r="V64" s="29">
        <f t="shared" si="19"/>
        <v>7000</v>
      </c>
      <c r="W64" s="29">
        <f t="shared" si="19"/>
        <v>7000</v>
      </c>
      <c r="X64" s="29">
        <f t="shared" si="19"/>
        <v>7000</v>
      </c>
      <c r="Y64" s="29">
        <f t="shared" si="19"/>
        <v>7000</v>
      </c>
      <c r="Z64" s="29">
        <f t="shared" si="19"/>
        <v>7000</v>
      </c>
      <c r="AA64" s="29">
        <f t="shared" si="19"/>
        <v>7000</v>
      </c>
      <c r="AB64" s="29">
        <f t="shared" si="19"/>
        <v>7000</v>
      </c>
      <c r="AC64" s="29">
        <f t="shared" si="19"/>
        <v>7000</v>
      </c>
      <c r="AD64" s="7" t="s">
        <v>57</v>
      </c>
      <c r="AL64" s="226"/>
    </row>
    <row r="65" spans="1:38" x14ac:dyDescent="0.15">
      <c r="B65" s="363"/>
      <c r="C65" s="303"/>
      <c r="D65" s="96" t="s">
        <v>98</v>
      </c>
      <c r="E65" s="29">
        <f t="shared" ref="E65:I65" si="20">$G$6</f>
        <v>25</v>
      </c>
      <c r="F65" s="29">
        <f t="shared" si="20"/>
        <v>25</v>
      </c>
      <c r="G65" s="29">
        <f t="shared" si="20"/>
        <v>25</v>
      </c>
      <c r="H65" s="29">
        <f t="shared" si="20"/>
        <v>25</v>
      </c>
      <c r="I65" s="29">
        <f t="shared" si="20"/>
        <v>25</v>
      </c>
      <c r="J65" s="347" t="s">
        <v>192</v>
      </c>
      <c r="K65" s="348"/>
      <c r="L65" s="348"/>
      <c r="M65" s="348"/>
      <c r="N65" s="348"/>
      <c r="O65" s="348"/>
      <c r="P65" s="348"/>
      <c r="Q65" s="348"/>
      <c r="R65" s="348"/>
      <c r="S65" s="348"/>
      <c r="T65" s="348"/>
      <c r="U65" s="348"/>
      <c r="V65" s="348"/>
      <c r="W65" s="348"/>
      <c r="X65" s="348"/>
      <c r="Y65" s="348"/>
      <c r="Z65" s="348"/>
      <c r="AA65" s="348"/>
      <c r="AB65" s="348"/>
      <c r="AC65" s="349"/>
      <c r="AD65" s="7" t="s">
        <v>57</v>
      </c>
      <c r="AL65" s="226"/>
    </row>
    <row r="66" spans="1:38" x14ac:dyDescent="0.15">
      <c r="B66" s="324"/>
      <c r="C66" s="301"/>
      <c r="D66" s="96" t="s">
        <v>193</v>
      </c>
      <c r="E66" s="350"/>
      <c r="F66" s="350"/>
      <c r="G66" s="350"/>
      <c r="H66" s="350"/>
      <c r="I66" s="350"/>
      <c r="J66" s="125">
        <f>+I6</f>
        <v>20</v>
      </c>
      <c r="K66" s="125">
        <f>+I6</f>
        <v>20</v>
      </c>
      <c r="L66" s="125">
        <f>+I6</f>
        <v>20</v>
      </c>
      <c r="M66" s="125">
        <f>+I6</f>
        <v>20</v>
      </c>
      <c r="N66" s="125">
        <f>+I6</f>
        <v>20</v>
      </c>
      <c r="O66" s="125">
        <f>+I6</f>
        <v>20</v>
      </c>
      <c r="P66" s="125">
        <f>+I6</f>
        <v>20</v>
      </c>
      <c r="Q66" s="125">
        <f>+I6</f>
        <v>20</v>
      </c>
      <c r="R66" s="125">
        <f>+I6</f>
        <v>20</v>
      </c>
      <c r="S66" s="125">
        <f>+I6</f>
        <v>20</v>
      </c>
      <c r="T66" s="125">
        <f>+I6</f>
        <v>20</v>
      </c>
      <c r="U66" s="125">
        <f>+I6</f>
        <v>20</v>
      </c>
      <c r="V66" s="125">
        <f>+I6</f>
        <v>20</v>
      </c>
      <c r="W66" s="125">
        <f>+I6</f>
        <v>20</v>
      </c>
      <c r="X66" s="125">
        <f>+I6</f>
        <v>20</v>
      </c>
      <c r="Y66" s="125">
        <f>+I6</f>
        <v>20</v>
      </c>
      <c r="Z66" s="125">
        <f>+I6</f>
        <v>20</v>
      </c>
      <c r="AA66" s="125">
        <f>+I6</f>
        <v>20</v>
      </c>
      <c r="AB66" s="125">
        <f>+I6</f>
        <v>20</v>
      </c>
      <c r="AC66" s="125">
        <f>+I6</f>
        <v>20</v>
      </c>
      <c r="AD66" s="7" t="s">
        <v>57</v>
      </c>
      <c r="AL66" s="226"/>
    </row>
    <row r="67" spans="1:38" ht="24" x14ac:dyDescent="0.15">
      <c r="B67" s="355" t="s">
        <v>172</v>
      </c>
      <c r="C67" s="290" t="s">
        <v>171</v>
      </c>
      <c r="D67" s="122" t="s">
        <v>194</v>
      </c>
      <c r="E67" s="30">
        <f t="shared" ref="E67:AC67" si="21">E14</f>
        <v>4060</v>
      </c>
      <c r="F67" s="30">
        <f t="shared" si="21"/>
        <v>4046.37</v>
      </c>
      <c r="G67" s="30">
        <f t="shared" si="21"/>
        <v>4030.13</v>
      </c>
      <c r="H67" s="30">
        <f t="shared" si="21"/>
        <v>4011.28</v>
      </c>
      <c r="I67" s="30">
        <f t="shared" si="21"/>
        <v>3989.53</v>
      </c>
      <c r="J67" s="126">
        <f t="shared" si="21"/>
        <v>3965.17</v>
      </c>
      <c r="K67" s="126">
        <f t="shared" si="21"/>
        <v>3938.2</v>
      </c>
      <c r="L67" s="126">
        <f t="shared" si="21"/>
        <v>3908.33</v>
      </c>
      <c r="M67" s="126">
        <f t="shared" si="21"/>
        <v>3875.85</v>
      </c>
      <c r="N67" s="126">
        <f t="shared" si="21"/>
        <v>3840.76</v>
      </c>
      <c r="O67" s="126">
        <f t="shared" si="21"/>
        <v>3802.77</v>
      </c>
      <c r="P67" s="126">
        <f t="shared" si="21"/>
        <v>3762.17</v>
      </c>
      <c r="Q67" s="126">
        <f t="shared" si="21"/>
        <v>3718.96</v>
      </c>
      <c r="R67" s="126">
        <f t="shared" si="21"/>
        <v>3672.85</v>
      </c>
      <c r="S67" s="126">
        <f t="shared" si="21"/>
        <v>3624.13</v>
      </c>
      <c r="T67" s="126">
        <f t="shared" si="21"/>
        <v>3572.8</v>
      </c>
      <c r="U67" s="126">
        <f t="shared" si="21"/>
        <v>3518.57</v>
      </c>
      <c r="V67" s="126">
        <f t="shared" si="21"/>
        <v>3461.73</v>
      </c>
      <c r="W67" s="126">
        <f t="shared" si="21"/>
        <v>3402.28</v>
      </c>
      <c r="X67" s="126">
        <f t="shared" si="21"/>
        <v>3339.93</v>
      </c>
      <c r="Y67" s="126">
        <f t="shared" si="21"/>
        <v>3274.97</v>
      </c>
      <c r="Z67" s="126">
        <f t="shared" si="21"/>
        <v>3207.4</v>
      </c>
      <c r="AA67" s="126">
        <f t="shared" si="21"/>
        <v>3136.93</v>
      </c>
      <c r="AB67" s="126">
        <f t="shared" si="21"/>
        <v>3063.85</v>
      </c>
      <c r="AC67" s="126">
        <f t="shared" si="21"/>
        <v>2988.16</v>
      </c>
      <c r="AD67" s="7" t="s">
        <v>57</v>
      </c>
      <c r="AL67" s="226"/>
    </row>
    <row r="68" spans="1:38" ht="41.1" customHeight="1" x14ac:dyDescent="0.15">
      <c r="B68" s="356"/>
      <c r="C68" s="284"/>
      <c r="D68" s="123" t="s">
        <v>195</v>
      </c>
      <c r="E68" s="13">
        <f t="shared" ref="E68:AC68" si="22">E15</f>
        <v>16.600000000000001</v>
      </c>
      <c r="F68" s="13">
        <f t="shared" si="22"/>
        <v>16.600000000000001</v>
      </c>
      <c r="G68" s="13">
        <f t="shared" si="22"/>
        <v>16.600000000000001</v>
      </c>
      <c r="H68" s="13">
        <f t="shared" si="22"/>
        <v>16.600000000000001</v>
      </c>
      <c r="I68" s="13">
        <f t="shared" si="22"/>
        <v>16.600000000000001</v>
      </c>
      <c r="J68" s="127">
        <f t="shared" si="22"/>
        <v>16.5</v>
      </c>
      <c r="K68" s="127">
        <f t="shared" si="22"/>
        <v>16.5</v>
      </c>
      <c r="L68" s="127">
        <f t="shared" si="22"/>
        <v>16.399999999999999</v>
      </c>
      <c r="M68" s="127">
        <f t="shared" si="22"/>
        <v>16.3</v>
      </c>
      <c r="N68" s="127">
        <f t="shared" si="22"/>
        <v>16.2</v>
      </c>
      <c r="O68" s="127">
        <f t="shared" si="22"/>
        <v>16.100000000000001</v>
      </c>
      <c r="P68" s="127">
        <f t="shared" si="22"/>
        <v>16</v>
      </c>
      <c r="Q68" s="127">
        <f t="shared" si="22"/>
        <v>15.9</v>
      </c>
      <c r="R68" s="127">
        <f t="shared" si="22"/>
        <v>15.7</v>
      </c>
      <c r="S68" s="127">
        <f t="shared" si="22"/>
        <v>15.6</v>
      </c>
      <c r="T68" s="127">
        <f t="shared" si="22"/>
        <v>15.4</v>
      </c>
      <c r="U68" s="127">
        <f t="shared" si="22"/>
        <v>15.2</v>
      </c>
      <c r="V68" s="127">
        <f t="shared" si="22"/>
        <v>15</v>
      </c>
      <c r="W68" s="127">
        <f t="shared" si="22"/>
        <v>14.8</v>
      </c>
      <c r="X68" s="127">
        <f t="shared" si="22"/>
        <v>14.6</v>
      </c>
      <c r="Y68" s="127">
        <f t="shared" si="22"/>
        <v>14.4</v>
      </c>
      <c r="Z68" s="127">
        <f t="shared" si="22"/>
        <v>14.1</v>
      </c>
      <c r="AA68" s="127">
        <f t="shared" si="22"/>
        <v>13.9</v>
      </c>
      <c r="AB68" s="127">
        <f t="shared" si="22"/>
        <v>13.6</v>
      </c>
      <c r="AC68" s="127">
        <f t="shared" si="22"/>
        <v>13.3</v>
      </c>
      <c r="AD68" s="7" t="s">
        <v>57</v>
      </c>
      <c r="AL68" s="226"/>
    </row>
    <row r="69" spans="1:38" x14ac:dyDescent="0.15">
      <c r="B69" s="356"/>
      <c r="C69" s="284"/>
      <c r="D69" s="96" t="s">
        <v>196</v>
      </c>
      <c r="E69" s="13"/>
      <c r="F69" s="13"/>
      <c r="G69" s="13"/>
      <c r="H69" s="13"/>
      <c r="I69" s="13"/>
      <c r="J69" s="212">
        <f t="shared" ref="J69:AC69" si="23">+J68*J61</f>
        <v>792</v>
      </c>
      <c r="K69" s="212">
        <f t="shared" si="23"/>
        <v>792</v>
      </c>
      <c r="L69" s="212">
        <f t="shared" si="23"/>
        <v>787.19999999999993</v>
      </c>
      <c r="M69" s="212">
        <f t="shared" si="23"/>
        <v>782.40000000000009</v>
      </c>
      <c r="N69" s="212">
        <f t="shared" si="23"/>
        <v>777.59999999999991</v>
      </c>
      <c r="O69" s="212">
        <f t="shared" si="23"/>
        <v>772.80000000000007</v>
      </c>
      <c r="P69" s="212">
        <f t="shared" si="23"/>
        <v>768</v>
      </c>
      <c r="Q69" s="212">
        <f t="shared" si="23"/>
        <v>763.2</v>
      </c>
      <c r="R69" s="212">
        <f t="shared" si="23"/>
        <v>753.59999999999991</v>
      </c>
      <c r="S69" s="212">
        <f t="shared" si="23"/>
        <v>748.8</v>
      </c>
      <c r="T69" s="212">
        <f t="shared" si="23"/>
        <v>739.2</v>
      </c>
      <c r="U69" s="212">
        <f t="shared" si="23"/>
        <v>729.59999999999991</v>
      </c>
      <c r="V69" s="212">
        <f t="shared" si="23"/>
        <v>720</v>
      </c>
      <c r="W69" s="212">
        <f t="shared" si="23"/>
        <v>710.40000000000009</v>
      </c>
      <c r="X69" s="212">
        <f t="shared" si="23"/>
        <v>700.8</v>
      </c>
      <c r="Y69" s="212">
        <f t="shared" si="23"/>
        <v>691.2</v>
      </c>
      <c r="Z69" s="212">
        <f t="shared" si="23"/>
        <v>676.8</v>
      </c>
      <c r="AA69" s="212">
        <f t="shared" si="23"/>
        <v>667.2</v>
      </c>
      <c r="AB69" s="212">
        <f t="shared" si="23"/>
        <v>652.79999999999995</v>
      </c>
      <c r="AC69" s="212">
        <f t="shared" si="23"/>
        <v>638.40000000000009</v>
      </c>
      <c r="AD69" s="7"/>
      <c r="AL69" s="226"/>
    </row>
    <row r="70" spans="1:38" ht="24" x14ac:dyDescent="0.15">
      <c r="B70" s="356"/>
      <c r="C70" s="285"/>
      <c r="D70" s="122" t="s">
        <v>197</v>
      </c>
      <c r="E70" s="30"/>
      <c r="F70" s="30"/>
      <c r="G70" s="30"/>
      <c r="H70" s="30"/>
      <c r="I70" s="30"/>
      <c r="J70" s="30">
        <f>J67+J69</f>
        <v>4757.17</v>
      </c>
      <c r="K70" s="30">
        <f t="shared" ref="K70:AC70" si="24">K67+K69</f>
        <v>4730.2</v>
      </c>
      <c r="L70" s="30">
        <f t="shared" si="24"/>
        <v>4695.53</v>
      </c>
      <c r="M70" s="30">
        <f t="shared" si="24"/>
        <v>4658.25</v>
      </c>
      <c r="N70" s="30">
        <f t="shared" si="24"/>
        <v>4618.3600000000006</v>
      </c>
      <c r="O70" s="30">
        <f>O67+O69</f>
        <v>4575.57</v>
      </c>
      <c r="P70" s="30">
        <f t="shared" si="24"/>
        <v>4530.17</v>
      </c>
      <c r="Q70" s="30">
        <f t="shared" si="24"/>
        <v>4482.16</v>
      </c>
      <c r="R70" s="30">
        <f t="shared" si="24"/>
        <v>4426.45</v>
      </c>
      <c r="S70" s="30">
        <f t="shared" si="24"/>
        <v>4372.93</v>
      </c>
      <c r="T70" s="30">
        <f t="shared" si="24"/>
        <v>4312</v>
      </c>
      <c r="U70" s="30">
        <f t="shared" si="24"/>
        <v>4248.17</v>
      </c>
      <c r="V70" s="30">
        <f t="shared" si="24"/>
        <v>4181.7299999999996</v>
      </c>
      <c r="W70" s="30">
        <f t="shared" si="24"/>
        <v>4112.68</v>
      </c>
      <c r="X70" s="30">
        <f t="shared" si="24"/>
        <v>4040.7299999999996</v>
      </c>
      <c r="Y70" s="30">
        <f t="shared" si="24"/>
        <v>3966.17</v>
      </c>
      <c r="Z70" s="30">
        <f t="shared" si="24"/>
        <v>3884.2</v>
      </c>
      <c r="AA70" s="30">
        <f t="shared" si="24"/>
        <v>3804.13</v>
      </c>
      <c r="AB70" s="30">
        <f t="shared" si="24"/>
        <v>3716.6499999999996</v>
      </c>
      <c r="AC70" s="30">
        <f t="shared" si="24"/>
        <v>3626.56</v>
      </c>
      <c r="AD70" s="7" t="s">
        <v>57</v>
      </c>
      <c r="AL70" s="226"/>
    </row>
    <row r="71" spans="1:38" ht="13.5" hidden="1" customHeight="1" x14ac:dyDescent="0.15">
      <c r="B71" s="356"/>
      <c r="C71" s="290" t="s">
        <v>199</v>
      </c>
      <c r="D71" s="7" t="s">
        <v>94</v>
      </c>
      <c r="E71" s="30">
        <f>E67/0.7</f>
        <v>5800</v>
      </c>
      <c r="F71" s="30">
        <f t="shared" ref="F71:AC71" si="25">F67/0.7</f>
        <v>5780.5285714285719</v>
      </c>
      <c r="G71" s="30">
        <f t="shared" si="25"/>
        <v>5757.3285714285721</v>
      </c>
      <c r="H71" s="30">
        <f t="shared" si="25"/>
        <v>5730.4000000000005</v>
      </c>
      <c r="I71" s="30">
        <f t="shared" si="25"/>
        <v>5699.3285714285721</v>
      </c>
      <c r="J71" s="30">
        <f t="shared" si="25"/>
        <v>5664.5285714285719</v>
      </c>
      <c r="K71" s="30">
        <f t="shared" si="25"/>
        <v>5626</v>
      </c>
      <c r="L71" s="30">
        <f t="shared" si="25"/>
        <v>5583.3285714285721</v>
      </c>
      <c r="M71" s="30">
        <f t="shared" si="25"/>
        <v>5536.9285714285716</v>
      </c>
      <c r="N71" s="30">
        <f t="shared" si="25"/>
        <v>5486.8000000000011</v>
      </c>
      <c r="O71" s="30">
        <f t="shared" si="25"/>
        <v>5432.5285714285719</v>
      </c>
      <c r="P71" s="30">
        <f t="shared" si="25"/>
        <v>5374.5285714285719</v>
      </c>
      <c r="Q71" s="30">
        <f t="shared" si="25"/>
        <v>5312.8</v>
      </c>
      <c r="R71" s="30">
        <f t="shared" si="25"/>
        <v>5246.9285714285716</v>
      </c>
      <c r="S71" s="30">
        <f t="shared" si="25"/>
        <v>5177.3285714285721</v>
      </c>
      <c r="T71" s="30">
        <f t="shared" si="25"/>
        <v>5104.0000000000009</v>
      </c>
      <c r="U71" s="30">
        <f t="shared" si="25"/>
        <v>5026.5285714285719</v>
      </c>
      <c r="V71" s="30">
        <f t="shared" si="25"/>
        <v>4945.3285714285721</v>
      </c>
      <c r="W71" s="30">
        <f t="shared" si="25"/>
        <v>4860.4000000000005</v>
      </c>
      <c r="X71" s="30">
        <f t="shared" si="25"/>
        <v>4771.3285714285712</v>
      </c>
      <c r="Y71" s="30">
        <f t="shared" si="25"/>
        <v>4678.528571428571</v>
      </c>
      <c r="Z71" s="30">
        <f t="shared" si="25"/>
        <v>4582</v>
      </c>
      <c r="AA71" s="30">
        <f t="shared" si="25"/>
        <v>4481.3285714285712</v>
      </c>
      <c r="AB71" s="30">
        <f t="shared" si="25"/>
        <v>4376.9285714285716</v>
      </c>
      <c r="AC71" s="30">
        <f t="shared" si="25"/>
        <v>4268.8</v>
      </c>
      <c r="AD71" s="7"/>
      <c r="AL71" s="226"/>
    </row>
    <row r="72" spans="1:38" ht="13.5" hidden="1" customHeight="1" x14ac:dyDescent="0.15">
      <c r="B72" s="356"/>
      <c r="C72" s="303"/>
      <c r="D72" s="7" t="s">
        <v>96</v>
      </c>
      <c r="E72" s="30">
        <f>E68/0.7</f>
        <v>23.714285714285719</v>
      </c>
      <c r="F72" s="30">
        <f t="shared" ref="F72:AC72" si="26">F68/0.7</f>
        <v>23.714285714285719</v>
      </c>
      <c r="G72" s="30">
        <f t="shared" si="26"/>
        <v>23.714285714285719</v>
      </c>
      <c r="H72" s="30">
        <f t="shared" si="26"/>
        <v>23.714285714285719</v>
      </c>
      <c r="I72" s="30">
        <f t="shared" si="26"/>
        <v>23.714285714285719</v>
      </c>
      <c r="J72" s="30">
        <f t="shared" si="26"/>
        <v>23.571428571428573</v>
      </c>
      <c r="K72" s="30">
        <f t="shared" si="26"/>
        <v>23.571428571428573</v>
      </c>
      <c r="L72" s="30">
        <f t="shared" si="26"/>
        <v>23.428571428571427</v>
      </c>
      <c r="M72" s="30">
        <f t="shared" si="26"/>
        <v>23.285714285714288</v>
      </c>
      <c r="N72" s="30">
        <f t="shared" si="26"/>
        <v>23.142857142857142</v>
      </c>
      <c r="O72" s="30">
        <f t="shared" si="26"/>
        <v>23.000000000000004</v>
      </c>
      <c r="P72" s="30">
        <f t="shared" si="26"/>
        <v>22.857142857142858</v>
      </c>
      <c r="Q72" s="30">
        <f t="shared" si="26"/>
        <v>22.714285714285715</v>
      </c>
      <c r="R72" s="30">
        <f t="shared" si="26"/>
        <v>22.428571428571431</v>
      </c>
      <c r="S72" s="30">
        <f t="shared" si="26"/>
        <v>22.285714285714288</v>
      </c>
      <c r="T72" s="30">
        <f t="shared" si="26"/>
        <v>22.000000000000004</v>
      </c>
      <c r="U72" s="30">
        <f t="shared" si="26"/>
        <v>21.714285714285715</v>
      </c>
      <c r="V72" s="30">
        <f t="shared" si="26"/>
        <v>21.428571428571431</v>
      </c>
      <c r="W72" s="30">
        <f t="shared" si="26"/>
        <v>21.142857142857146</v>
      </c>
      <c r="X72" s="30">
        <f t="shared" si="26"/>
        <v>20.857142857142858</v>
      </c>
      <c r="Y72" s="30">
        <f t="shared" si="26"/>
        <v>20.571428571428573</v>
      </c>
      <c r="Z72" s="30">
        <f t="shared" si="26"/>
        <v>20.142857142857142</v>
      </c>
      <c r="AA72" s="30">
        <f t="shared" si="26"/>
        <v>19.857142857142858</v>
      </c>
      <c r="AB72" s="30">
        <f t="shared" si="26"/>
        <v>19.428571428571431</v>
      </c>
      <c r="AC72" s="30">
        <f t="shared" si="26"/>
        <v>19.000000000000004</v>
      </c>
      <c r="AD72" s="7"/>
      <c r="AL72" s="226"/>
    </row>
    <row r="73" spans="1:38" ht="27" hidden="1" customHeight="1" x14ac:dyDescent="0.15">
      <c r="B73" s="357"/>
      <c r="C73" s="301"/>
      <c r="D73" s="15" t="s">
        <v>198</v>
      </c>
      <c r="E73" s="33">
        <f t="shared" ref="E73:I73" si="27">E71</f>
        <v>5800</v>
      </c>
      <c r="F73" s="33">
        <f t="shared" si="27"/>
        <v>5780.5285714285719</v>
      </c>
      <c r="G73" s="33">
        <f t="shared" si="27"/>
        <v>5757.3285714285721</v>
      </c>
      <c r="H73" s="33">
        <f t="shared" si="27"/>
        <v>5730.4000000000005</v>
      </c>
      <c r="I73" s="33">
        <f t="shared" si="27"/>
        <v>5699.3285714285721</v>
      </c>
      <c r="J73" s="33">
        <f>SUM(J71:J72)</f>
        <v>5688.1</v>
      </c>
      <c r="K73" s="33">
        <f t="shared" ref="K73:AC73" si="28">SUM(K71:K72)</f>
        <v>5649.5714285714284</v>
      </c>
      <c r="L73" s="33">
        <f t="shared" si="28"/>
        <v>5606.7571428571437</v>
      </c>
      <c r="M73" s="33">
        <f t="shared" si="28"/>
        <v>5560.2142857142862</v>
      </c>
      <c r="N73" s="33">
        <f t="shared" si="28"/>
        <v>5509.942857142858</v>
      </c>
      <c r="O73" s="33">
        <f t="shared" si="28"/>
        <v>5455.5285714285719</v>
      </c>
      <c r="P73" s="33">
        <f t="shared" si="28"/>
        <v>5397.385714285715</v>
      </c>
      <c r="Q73" s="33">
        <f t="shared" si="28"/>
        <v>5335.5142857142855</v>
      </c>
      <c r="R73" s="33">
        <f t="shared" si="28"/>
        <v>5269.3571428571431</v>
      </c>
      <c r="S73" s="33">
        <f t="shared" si="28"/>
        <v>5199.6142857142868</v>
      </c>
      <c r="T73" s="33">
        <f t="shared" si="28"/>
        <v>5126.0000000000009</v>
      </c>
      <c r="U73" s="33">
        <f t="shared" si="28"/>
        <v>5048.2428571428572</v>
      </c>
      <c r="V73" s="33">
        <f t="shared" si="28"/>
        <v>4966.7571428571437</v>
      </c>
      <c r="W73" s="33">
        <f t="shared" si="28"/>
        <v>4881.5428571428574</v>
      </c>
      <c r="X73" s="33">
        <f t="shared" si="28"/>
        <v>4792.1857142857143</v>
      </c>
      <c r="Y73" s="33">
        <f t="shared" si="28"/>
        <v>4699.0999999999995</v>
      </c>
      <c r="Z73" s="33">
        <f t="shared" si="28"/>
        <v>4602.1428571428569</v>
      </c>
      <c r="AA73" s="33">
        <f t="shared" si="28"/>
        <v>4501.1857142857143</v>
      </c>
      <c r="AB73" s="33">
        <f t="shared" si="28"/>
        <v>4396.3571428571431</v>
      </c>
      <c r="AC73" s="33">
        <f t="shared" si="28"/>
        <v>4287.8</v>
      </c>
      <c r="AD73" s="7" t="s">
        <v>57</v>
      </c>
      <c r="AL73" s="226"/>
    </row>
    <row r="74" spans="1:38" ht="15.95" hidden="1" customHeight="1" x14ac:dyDescent="0.15">
      <c r="B74" s="230" t="s">
        <v>200</v>
      </c>
      <c r="C74" s="7" t="s">
        <v>6</v>
      </c>
      <c r="D74" s="96" t="s">
        <v>97</v>
      </c>
      <c r="E74" s="30" t="e">
        <f>'整備の現状、人口見通し'!#REF!</f>
        <v>#REF!</v>
      </c>
      <c r="F74" s="30" t="e">
        <f>'整備の現状、人口見通し'!#REF!</f>
        <v>#REF!</v>
      </c>
      <c r="G74" s="30" t="e">
        <f>'整備の現状、人口見通し'!#REF!</f>
        <v>#REF!</v>
      </c>
      <c r="H74" s="30" t="e">
        <f>'整備の現状、人口見通し'!#REF!</f>
        <v>#REF!</v>
      </c>
      <c r="I74" s="30" t="e">
        <f>'整備の現状、人口見通し'!#REF!</f>
        <v>#REF!</v>
      </c>
      <c r="J74" s="30" t="e">
        <f>'整備の現状、人口見通し'!#REF!</f>
        <v>#REF!</v>
      </c>
      <c r="K74" s="30" t="e">
        <f>'整備の現状、人口見通し'!#REF!</f>
        <v>#REF!</v>
      </c>
      <c r="L74" s="30" t="e">
        <f>'整備の現状、人口見通し'!#REF!</f>
        <v>#REF!</v>
      </c>
      <c r="M74" s="30" t="e">
        <f>'整備の現状、人口見通し'!#REF!</f>
        <v>#REF!</v>
      </c>
      <c r="N74" s="30" t="e">
        <f>'整備の現状、人口見通し'!#REF!</f>
        <v>#REF!</v>
      </c>
      <c r="O74" s="30" t="e">
        <f>'整備の現状、人口見通し'!#REF!</f>
        <v>#REF!</v>
      </c>
      <c r="P74" s="30" t="e">
        <f>'整備の現状、人口見通し'!#REF!</f>
        <v>#REF!</v>
      </c>
      <c r="Q74" s="30" t="e">
        <f>'整備の現状、人口見通し'!#REF!</f>
        <v>#REF!</v>
      </c>
      <c r="R74" s="30" t="e">
        <f>'整備の現状、人口見通し'!#REF!</f>
        <v>#REF!</v>
      </c>
      <c r="S74" s="30" t="e">
        <f>'整備の現状、人口見通し'!#REF!</f>
        <v>#REF!</v>
      </c>
      <c r="T74" s="30" t="e">
        <f>'整備の現状、人口見通し'!#REF!</f>
        <v>#REF!</v>
      </c>
      <c r="U74" s="30" t="e">
        <f>'整備の現状、人口見通し'!#REF!</f>
        <v>#REF!</v>
      </c>
      <c r="V74" s="30" t="e">
        <f>'整備の現状、人口見通し'!#REF!</f>
        <v>#REF!</v>
      </c>
      <c r="W74" s="30" t="e">
        <f>'整備の現状、人口見通し'!#REF!</f>
        <v>#REF!</v>
      </c>
      <c r="X74" s="30" t="e">
        <f>'整備の現状、人口見通し'!#REF!</f>
        <v>#REF!</v>
      </c>
      <c r="Y74" s="30" t="e">
        <f>'整備の現状、人口見通し'!#REF!</f>
        <v>#REF!</v>
      </c>
      <c r="Z74" s="30" t="e">
        <f>'整備の現状、人口見通し'!#REF!</f>
        <v>#REF!</v>
      </c>
      <c r="AA74" s="30" t="e">
        <f>'整備の現状、人口見通し'!#REF!</f>
        <v>#REF!</v>
      </c>
      <c r="AB74" s="30" t="e">
        <f>'整備の現状、人口見通し'!#REF!</f>
        <v>#REF!</v>
      </c>
      <c r="AC74" s="30" t="e">
        <f>'整備の現状、人口見通し'!#REF!</f>
        <v>#REF!</v>
      </c>
      <c r="AD74" s="7" t="s">
        <v>57</v>
      </c>
      <c r="AL74" s="226"/>
    </row>
    <row r="75" spans="1:38" x14ac:dyDescent="0.15">
      <c r="B75" s="346" t="s">
        <v>173</v>
      </c>
      <c r="C75" s="283" t="s">
        <v>8</v>
      </c>
      <c r="D75" s="7" t="s">
        <v>94</v>
      </c>
      <c r="E75" s="37">
        <f t="shared" ref="E75:I75" si="29">E67/E64</f>
        <v>0.45111111111111113</v>
      </c>
      <c r="F75" s="37">
        <f t="shared" si="29"/>
        <v>0.44959666666666664</v>
      </c>
      <c r="G75" s="37">
        <f t="shared" si="29"/>
        <v>0.44779222222222226</v>
      </c>
      <c r="H75" s="37">
        <f t="shared" si="29"/>
        <v>0.4456977777777778</v>
      </c>
      <c r="I75" s="37">
        <f t="shared" si="29"/>
        <v>0.44328111111111113</v>
      </c>
      <c r="J75" s="37">
        <f>J70/J64</f>
        <v>0.52857444444444446</v>
      </c>
      <c r="K75" s="37">
        <f t="shared" ref="K75:AC75" si="30">K70/K64</f>
        <v>0.52557777777777781</v>
      </c>
      <c r="L75" s="37">
        <f t="shared" si="30"/>
        <v>0.52172555555555555</v>
      </c>
      <c r="M75" s="37">
        <f t="shared" si="30"/>
        <v>0.51758333333333328</v>
      </c>
      <c r="N75" s="37">
        <f t="shared" si="30"/>
        <v>0.51315111111111122</v>
      </c>
      <c r="O75" s="37">
        <f t="shared" si="30"/>
        <v>0.50839666666666661</v>
      </c>
      <c r="P75" s="37">
        <f t="shared" si="30"/>
        <v>0.64716714285714283</v>
      </c>
      <c r="Q75" s="37">
        <f t="shared" si="30"/>
        <v>0.64030857142857145</v>
      </c>
      <c r="R75" s="37">
        <f t="shared" si="30"/>
        <v>0.63234999999999997</v>
      </c>
      <c r="S75" s="37">
        <f t="shared" si="30"/>
        <v>0.62470428571428571</v>
      </c>
      <c r="T75" s="37">
        <f t="shared" si="30"/>
        <v>0.61599999999999999</v>
      </c>
      <c r="U75" s="37">
        <f t="shared" si="30"/>
        <v>0.60688142857142857</v>
      </c>
      <c r="V75" s="37">
        <f t="shared" si="30"/>
        <v>0.59738999999999998</v>
      </c>
      <c r="W75" s="37">
        <f t="shared" si="30"/>
        <v>0.58752571428571432</v>
      </c>
      <c r="X75" s="37">
        <f t="shared" si="30"/>
        <v>0.57724714285714285</v>
      </c>
      <c r="Y75" s="37">
        <f t="shared" si="30"/>
        <v>0.56659571428571431</v>
      </c>
      <c r="Z75" s="37">
        <f t="shared" si="30"/>
        <v>0.5548857142857142</v>
      </c>
      <c r="AA75" s="37">
        <f t="shared" si="30"/>
        <v>0.54344714285714291</v>
      </c>
      <c r="AB75" s="37">
        <f t="shared" si="30"/>
        <v>0.53094999999999992</v>
      </c>
      <c r="AC75" s="37">
        <f t="shared" si="30"/>
        <v>0.51807999999999998</v>
      </c>
      <c r="AD75" s="7" t="s">
        <v>57</v>
      </c>
      <c r="AL75" s="226"/>
    </row>
    <row r="76" spans="1:38" ht="39" customHeight="1" x14ac:dyDescent="0.15">
      <c r="B76" s="346"/>
      <c r="C76" s="285"/>
      <c r="D76" s="123" t="s">
        <v>195</v>
      </c>
      <c r="E76" s="37">
        <f t="shared" ref="E76:H76" si="31">E68/E65</f>
        <v>0.66400000000000003</v>
      </c>
      <c r="F76" s="37">
        <f t="shared" si="31"/>
        <v>0.66400000000000003</v>
      </c>
      <c r="G76" s="37">
        <f t="shared" si="31"/>
        <v>0.66400000000000003</v>
      </c>
      <c r="H76" s="37">
        <f t="shared" si="31"/>
        <v>0.66400000000000003</v>
      </c>
      <c r="I76" s="37">
        <f>I68/I65</f>
        <v>0.66400000000000003</v>
      </c>
      <c r="J76" s="128">
        <f>J68/J66</f>
        <v>0.82499999999999996</v>
      </c>
      <c r="K76" s="128">
        <f t="shared" ref="K76:AC76" si="32">K68/K66</f>
        <v>0.82499999999999996</v>
      </c>
      <c r="L76" s="128">
        <f t="shared" si="32"/>
        <v>0.82</v>
      </c>
      <c r="M76" s="128">
        <f t="shared" si="32"/>
        <v>0.81500000000000006</v>
      </c>
      <c r="N76" s="128">
        <f t="shared" si="32"/>
        <v>0.80999999999999994</v>
      </c>
      <c r="O76" s="128">
        <f t="shared" si="32"/>
        <v>0.80500000000000005</v>
      </c>
      <c r="P76" s="128">
        <f t="shared" si="32"/>
        <v>0.8</v>
      </c>
      <c r="Q76" s="128">
        <f t="shared" si="32"/>
        <v>0.79500000000000004</v>
      </c>
      <c r="R76" s="128">
        <f t="shared" si="32"/>
        <v>0.78499999999999992</v>
      </c>
      <c r="S76" s="128">
        <f t="shared" si="32"/>
        <v>0.78</v>
      </c>
      <c r="T76" s="128">
        <f t="shared" si="32"/>
        <v>0.77</v>
      </c>
      <c r="U76" s="128">
        <f t="shared" si="32"/>
        <v>0.76</v>
      </c>
      <c r="V76" s="128">
        <f t="shared" si="32"/>
        <v>0.75</v>
      </c>
      <c r="W76" s="128">
        <f t="shared" si="32"/>
        <v>0.74</v>
      </c>
      <c r="X76" s="128">
        <f t="shared" si="32"/>
        <v>0.73</v>
      </c>
      <c r="Y76" s="128">
        <f t="shared" si="32"/>
        <v>0.72</v>
      </c>
      <c r="Z76" s="128">
        <f t="shared" si="32"/>
        <v>0.70499999999999996</v>
      </c>
      <c r="AA76" s="128">
        <f t="shared" si="32"/>
        <v>0.69500000000000006</v>
      </c>
      <c r="AB76" s="128">
        <f t="shared" si="32"/>
        <v>0.67999999999999994</v>
      </c>
      <c r="AC76" s="128">
        <f t="shared" si="32"/>
        <v>0.66500000000000004</v>
      </c>
      <c r="AD76" s="7" t="s">
        <v>57</v>
      </c>
      <c r="AL76" s="226"/>
    </row>
    <row r="77" spans="1:38" x14ac:dyDescent="0.15">
      <c r="B77" s="354" t="s">
        <v>174</v>
      </c>
      <c r="C77" s="288" t="s">
        <v>57</v>
      </c>
      <c r="D77" s="7" t="s">
        <v>94</v>
      </c>
      <c r="E77" s="110">
        <v>1</v>
      </c>
      <c r="F77" s="110">
        <f t="shared" ref="F77:O77" si="33">$P$5*(F75*100)^$Q$5/$R$5</f>
        <v>1.0032908495138475</v>
      </c>
      <c r="G77" s="110">
        <f t="shared" si="33"/>
        <v>1.0072405874931165</v>
      </c>
      <c r="H77" s="110">
        <f t="shared" si="33"/>
        <v>1.0118647461317642</v>
      </c>
      <c r="I77" s="110">
        <f t="shared" si="33"/>
        <v>1.0172539842928507</v>
      </c>
      <c r="J77" s="110">
        <f>$P$5*(J75*100)^$Q$5/$R$5</f>
        <v>0.85656491723847628</v>
      </c>
      <c r="K77" s="110">
        <f t="shared" si="33"/>
        <v>0.86133611993475945</v>
      </c>
      <c r="L77" s="110">
        <f t="shared" si="33"/>
        <v>0.86754909570165661</v>
      </c>
      <c r="M77" s="110">
        <f t="shared" si="33"/>
        <v>0.87433178421223889</v>
      </c>
      <c r="N77" s="110">
        <f t="shared" si="33"/>
        <v>0.88170919675760595</v>
      </c>
      <c r="O77" s="110">
        <f t="shared" si="33"/>
        <v>0.889764287851598</v>
      </c>
      <c r="P77" s="111">
        <v>1</v>
      </c>
      <c r="Q77" s="110">
        <f>$P$5*(Q75*100)^$Q$5/R58</f>
        <v>1.0104637079245919</v>
      </c>
      <c r="R77" s="110">
        <f>$P$5*(R75*100)^$Q$5/R58</f>
        <v>1.0228868166131886</v>
      </c>
      <c r="S77" s="110">
        <f>$P$5*(S75*100)^$Q$5/R58</f>
        <v>1.0351162080951528</v>
      </c>
      <c r="T77" s="110">
        <f>$P$5*(T75*100)^$Q$5/R58</f>
        <v>1.0494040244079788</v>
      </c>
      <c r="U77" s="110">
        <f>$P$5*(U75*100)^$Q$5/R58</f>
        <v>1.0648063244335739</v>
      </c>
      <c r="V77" s="110">
        <f>$P$5*(V75*100)^$Q$5/R58</f>
        <v>1.0813320253539942</v>
      </c>
      <c r="W77" s="110">
        <f>$P$5*(W75*100)^$Q$5/R58</f>
        <v>1.0990661194122029</v>
      </c>
      <c r="X77" s="110">
        <f>$P$5*(X75*100)^$Q$5/R58</f>
        <v>1.1181822921109565</v>
      </c>
      <c r="Y77" s="110">
        <f>$P$5*(Y75*100)^$Q$5/R58</f>
        <v>1.1387151047832169</v>
      </c>
      <c r="Z77" s="110">
        <f>$P$5*(Z75*100)^$Q$5/R58</f>
        <v>1.1621875500748475</v>
      </c>
      <c r="AA77" s="110">
        <f>$P$5*(AA75*100)^$Q$5/R58</f>
        <v>1.1860811106555509</v>
      </c>
      <c r="AB77" s="110">
        <f>$P$5*(AB75*100)^$Q$5/R58</f>
        <v>1.2133488682580682</v>
      </c>
      <c r="AC77" s="110">
        <f>$P$5*(AC75*100)^$Q$5/R58</f>
        <v>1.2427889440898221</v>
      </c>
      <c r="AD77" s="7" t="s">
        <v>57</v>
      </c>
      <c r="AL77" s="226"/>
    </row>
    <row r="78" spans="1:38" ht="33.75" x14ac:dyDescent="0.15">
      <c r="B78" s="346"/>
      <c r="C78" s="288"/>
      <c r="D78" s="123" t="s">
        <v>195</v>
      </c>
      <c r="E78" s="110">
        <v>1</v>
      </c>
      <c r="F78" s="110">
        <f>$P$6*(F76*100)^$Q$6/$R$6</f>
        <v>1</v>
      </c>
      <c r="G78" s="110">
        <f t="shared" ref="G78:I78" si="34">$P$6*(G76*100)^$Q$6/$R$6</f>
        <v>1</v>
      </c>
      <c r="H78" s="110">
        <f t="shared" si="34"/>
        <v>1</v>
      </c>
      <c r="I78" s="110">
        <f t="shared" si="34"/>
        <v>1</v>
      </c>
      <c r="J78" s="129">
        <v>1</v>
      </c>
      <c r="K78" s="130">
        <f>$P$6*(K76*100)^$Q$6/$S$6</f>
        <v>1</v>
      </c>
      <c r="L78" s="130">
        <f t="shared" ref="L78:AC78" si="35">$P$6*(L76*100)^$Q$6/$S$6</f>
        <v>1.0056389570215611</v>
      </c>
      <c r="M78" s="130">
        <f t="shared" si="35"/>
        <v>1.011344493815804</v>
      </c>
      <c r="N78" s="130">
        <f t="shared" si="35"/>
        <v>1.0171178122404161</v>
      </c>
      <c r="O78" s="130">
        <f t="shared" si="35"/>
        <v>1.0229601434462465</v>
      </c>
      <c r="P78" s="130">
        <f t="shared" si="35"/>
        <v>1.0288727487787706</v>
      </c>
      <c r="Q78" s="130">
        <f t="shared" si="35"/>
        <v>1.0348569207131477</v>
      </c>
      <c r="R78" s="130">
        <f t="shared" si="35"/>
        <v>1.0470452957937835</v>
      </c>
      <c r="S78" s="130">
        <f t="shared" si="35"/>
        <v>1.0532522484544065</v>
      </c>
      <c r="T78" s="130">
        <f t="shared" si="35"/>
        <v>1.0658988204890103</v>
      </c>
      <c r="U78" s="130">
        <f t="shared" si="35"/>
        <v>1.0788655599039809</v>
      </c>
      <c r="V78" s="130">
        <f t="shared" si="35"/>
        <v>1.0921649470403498</v>
      </c>
      <c r="W78" s="130">
        <f t="shared" si="35"/>
        <v>1.1058101238715166</v>
      </c>
      <c r="X78" s="130">
        <f t="shared" si="35"/>
        <v>1.1198149386181642</v>
      </c>
      <c r="Y78" s="130">
        <f t="shared" si="35"/>
        <v>1.1341939940327055</v>
      </c>
      <c r="Z78" s="130">
        <f t="shared" si="35"/>
        <v>1.1564982213840205</v>
      </c>
      <c r="AA78" s="130">
        <f t="shared" si="35"/>
        <v>1.1718822012356123</v>
      </c>
      <c r="AB78" s="130">
        <f t="shared" si="35"/>
        <v>1.1957741430029176</v>
      </c>
      <c r="AC78" s="130">
        <f t="shared" si="35"/>
        <v>1.2207026306837194</v>
      </c>
      <c r="AD78" s="7" t="s">
        <v>57</v>
      </c>
      <c r="AL78" s="226"/>
    </row>
    <row r="79" spans="1:38" x14ac:dyDescent="0.15">
      <c r="A79" t="s">
        <v>324</v>
      </c>
      <c r="B79" s="354" t="s">
        <v>175</v>
      </c>
      <c r="C79" s="288" t="s">
        <v>176</v>
      </c>
      <c r="D79" s="7" t="s">
        <v>94</v>
      </c>
      <c r="E79" s="117">
        <f>E67*E77*$C5*365/1000000</f>
        <v>111.1425</v>
      </c>
      <c r="F79" s="117">
        <f>F67*F77*$C5*365/1000000</f>
        <v>111.13390410620862</v>
      </c>
      <c r="G79" s="117">
        <f>G67*G77*$C5*365/1000000</f>
        <v>111.12362518041571</v>
      </c>
      <c r="H79" s="117">
        <f>H67*H77*$C5*365/1000000</f>
        <v>111.11164341638622</v>
      </c>
      <c r="I79" s="117">
        <f>I67*I77*$C5*365/1000000</f>
        <v>111.09774975779159</v>
      </c>
      <c r="J79" s="117">
        <f>J70*J77*$C5*365/1000000</f>
        <v>111.54833238591505</v>
      </c>
      <c r="K79" s="117">
        <f t="shared" ref="K79:O79" si="36">K70*K77*$C5*365/1000000</f>
        <v>111.53374663485906</v>
      </c>
      <c r="L79" s="117">
        <f t="shared" si="36"/>
        <v>111.51487679618249</v>
      </c>
      <c r="M79" s="117">
        <f t="shared" si="36"/>
        <v>111.49443392545737</v>
      </c>
      <c r="N79" s="117">
        <f t="shared" si="36"/>
        <v>111.47238205253788</v>
      </c>
      <c r="O79" s="117">
        <f t="shared" si="36"/>
        <v>111.44851917272059</v>
      </c>
      <c r="P79" s="116">
        <f>P70*P77*$D58*365/1000000</f>
        <v>72.754530200000005</v>
      </c>
      <c r="Q79" s="117">
        <f>Q70*Q77*D58*365/1000000</f>
        <v>72.736703810567292</v>
      </c>
      <c r="R79" s="117">
        <f>R70*R77*D58*365/1000000</f>
        <v>72.715783031323028</v>
      </c>
      <c r="S79" s="117">
        <f>S70*S77*D58*365/1000000</f>
        <v>72.695440961040518</v>
      </c>
      <c r="T79" s="117">
        <f>T70*T77*D58*365/1000000</f>
        <v>72.671984261150087</v>
      </c>
      <c r="U79" s="117">
        <f>U70*U77*D58*365/1000000</f>
        <v>72.647061229299752</v>
      </c>
      <c r="V79" s="117">
        <f>V70*V77*D58*365/1000000</f>
        <v>72.620727440359929</v>
      </c>
      <c r="W79" s="117">
        <f>W70*W77*D58*365/1000000</f>
        <v>72.592922402625902</v>
      </c>
      <c r="X79" s="117">
        <f>X70*X77*D58*365/1000000</f>
        <v>72.563460095216172</v>
      </c>
      <c r="Y79" s="117">
        <f>Y70*Y77*D58*365/1000000</f>
        <v>72.532383255437111</v>
      </c>
      <c r="Z79" s="117">
        <f>Z70*Z77*D58*365/1000000</f>
        <v>72.497552244931612</v>
      </c>
      <c r="AA79" s="117">
        <f>AA70*AA77*D58*365/1000000</f>
        <v>72.462828171778312</v>
      </c>
      <c r="AB79" s="117">
        <f>AB70*AB77*D58*365/1000000</f>
        <v>72.424064723654254</v>
      </c>
      <c r="AC79" s="117">
        <f>AC70*AC77*D58*365/1000000</f>
        <v>72.383201689638852</v>
      </c>
      <c r="AD79" s="30">
        <f t="shared" ref="AD79:AD82" si="37">SUM(E79:AC79)</f>
        <v>2240.9203569454971</v>
      </c>
      <c r="AL79" s="226"/>
    </row>
    <row r="80" spans="1:38" ht="33.75" x14ac:dyDescent="0.15">
      <c r="A80" s="271" t="s">
        <v>327</v>
      </c>
      <c r="B80" s="346"/>
      <c r="C80" s="288"/>
      <c r="D80" s="123" t="s">
        <v>195</v>
      </c>
      <c r="E80" s="117">
        <f>E68*E78*$C59*365/1000000</f>
        <v>109.062</v>
      </c>
      <c r="F80" s="117">
        <f>F68*F78*$C59*365/1000000</f>
        <v>109.062</v>
      </c>
      <c r="G80" s="117">
        <f>G68*G78*$C59*365/1000000</f>
        <v>109.062</v>
      </c>
      <c r="H80" s="117">
        <f>H68*H78*$C59*365/1000000</f>
        <v>109.062</v>
      </c>
      <c r="I80" s="117">
        <f>I68*I78*$C59*365/1000000</f>
        <v>109.062</v>
      </c>
      <c r="J80" s="117">
        <f>J68*J78*$D59*365/1000000</f>
        <v>15.043467852703564</v>
      </c>
      <c r="K80" s="117">
        <f t="shared" ref="K80:AC80" si="38">K68*K78*$D59*365/1000000</f>
        <v>15.043467852703564</v>
      </c>
      <c r="L80" s="117">
        <f t="shared" si="38"/>
        <v>15.03661067094759</v>
      </c>
      <c r="M80" s="117">
        <f t="shared" si="38"/>
        <v>15.029714703384665</v>
      </c>
      <c r="N80" s="117">
        <f t="shared" si="38"/>
        <v>15.022779490653589</v>
      </c>
      <c r="O80" s="117">
        <f t="shared" si="38"/>
        <v>15.015804565075353</v>
      </c>
      <c r="P80" s="117">
        <f>P68*P78*$D59*365/1000000</f>
        <v>15.008789450449637</v>
      </c>
      <c r="Q80" s="117">
        <f t="shared" si="38"/>
        <v>15.001733661845273</v>
      </c>
      <c r="R80" s="117">
        <f t="shared" si="38"/>
        <v>14.987498078017754</v>
      </c>
      <c r="S80" s="117">
        <f t="shared" si="38"/>
        <v>14.980317267298251</v>
      </c>
      <c r="T80" s="117">
        <f t="shared" si="38"/>
        <v>14.965826997577002</v>
      </c>
      <c r="U80" s="117">
        <f t="shared" si="38"/>
        <v>14.951161599432087</v>
      </c>
      <c r="V80" s="117">
        <f t="shared" ref="V80:AA80" si="39">V68*V78*$D59*365/1000000</f>
        <v>14.936316609682905</v>
      </c>
      <c r="W80" s="117">
        <f t="shared" si="39"/>
        <v>14.921287389993852</v>
      </c>
      <c r="X80" s="117">
        <f t="shared" si="39"/>
        <v>14.906069117524948</v>
      </c>
      <c r="Y80" s="117">
        <f t="shared" si="39"/>
        <v>14.890656774947313</v>
      </c>
      <c r="Z80" s="117">
        <f t="shared" si="39"/>
        <v>14.867162896539455</v>
      </c>
      <c r="AA80" s="117">
        <f t="shared" si="39"/>
        <v>14.851242053215975</v>
      </c>
      <c r="AB80" s="117">
        <f t="shared" si="38"/>
        <v>14.826958930865226</v>
      </c>
      <c r="AC80" s="117">
        <f t="shared" si="38"/>
        <v>14.802175176117336</v>
      </c>
      <c r="AD80" s="30">
        <f t="shared" si="37"/>
        <v>844.39904113897489</v>
      </c>
      <c r="AL80" s="226"/>
    </row>
    <row r="81" spans="1:38" ht="13.5" customHeight="1" x14ac:dyDescent="0.15">
      <c r="A81" t="s">
        <v>325</v>
      </c>
      <c r="B81" s="231" t="s">
        <v>177</v>
      </c>
      <c r="C81" s="288"/>
      <c r="D81" s="7" t="s">
        <v>94</v>
      </c>
      <c r="E81" s="38"/>
      <c r="F81" s="38"/>
      <c r="G81" s="38"/>
      <c r="H81" s="38"/>
      <c r="I81" s="38"/>
      <c r="J81" s="38"/>
      <c r="K81" s="38"/>
      <c r="L81" s="38"/>
      <c r="M81" s="38"/>
      <c r="N81" s="38"/>
      <c r="O81" s="276">
        <f>$J$5*(P64)^$K$5/1000*(1+23.8/33.4)</f>
        <v>1244.8371041328062</v>
      </c>
      <c r="P81" s="49"/>
      <c r="Q81" s="33"/>
      <c r="R81" s="38"/>
      <c r="S81" s="38"/>
      <c r="T81" s="38"/>
      <c r="U81" s="38"/>
      <c r="V81" s="38"/>
      <c r="W81" s="38"/>
      <c r="X81" s="38"/>
      <c r="Y81" s="38"/>
      <c r="Z81" s="38"/>
      <c r="AA81" s="38"/>
      <c r="AB81" s="38"/>
      <c r="AC81" s="38"/>
      <c r="AD81" s="30">
        <f t="shared" si="37"/>
        <v>1244.8371041328062</v>
      </c>
      <c r="AE81" s="97"/>
      <c r="AL81" s="226"/>
    </row>
    <row r="82" spans="1:38" ht="13.5" customHeight="1" x14ac:dyDescent="0.15">
      <c r="A82" s="208" t="s">
        <v>331</v>
      </c>
      <c r="B82" s="323" t="s">
        <v>201</v>
      </c>
      <c r="C82" s="288"/>
      <c r="D82" s="124" t="s">
        <v>202</v>
      </c>
      <c r="E82" s="38"/>
      <c r="F82" s="38"/>
      <c r="G82" s="38"/>
      <c r="H82" s="38"/>
      <c r="I82" s="276">
        <f>$J$7*(J66)^$K$7/1000</f>
        <v>923.99317585844767</v>
      </c>
      <c r="J82" s="49"/>
      <c r="K82" s="38"/>
      <c r="L82" s="38"/>
      <c r="M82" s="38"/>
      <c r="N82" s="38"/>
      <c r="O82" s="38"/>
      <c r="P82" s="32"/>
      <c r="Q82" s="38"/>
      <c r="R82" s="38"/>
      <c r="S82" s="38"/>
      <c r="T82" s="38"/>
      <c r="U82" s="38"/>
      <c r="V82" s="38"/>
      <c r="W82" s="38"/>
      <c r="X82" s="38"/>
      <c r="Y82" s="38"/>
      <c r="Z82" s="38"/>
      <c r="AA82" s="38"/>
      <c r="AB82" s="38"/>
      <c r="AC82" s="38"/>
      <c r="AD82" s="30">
        <f t="shared" si="37"/>
        <v>923.99317585844767</v>
      </c>
      <c r="AL82" s="226"/>
    </row>
    <row r="83" spans="1:38" ht="13.5" customHeight="1" x14ac:dyDescent="0.15">
      <c r="A83" s="208" t="s">
        <v>332</v>
      </c>
      <c r="B83" s="324"/>
      <c r="C83" s="288"/>
      <c r="D83" s="124" t="s">
        <v>295</v>
      </c>
      <c r="E83" s="38"/>
      <c r="F83" s="38"/>
      <c r="G83" s="38"/>
      <c r="H83" s="38"/>
      <c r="I83" s="38"/>
      <c r="J83" s="114">
        <f>+(J69-J68)*300*365/1000000</f>
        <v>84.917249999999996</v>
      </c>
      <c r="K83" s="211">
        <f>+(K69-K68)*300*365/1000000</f>
        <v>84.917249999999996</v>
      </c>
      <c r="L83" s="211">
        <f>+(L69-L68)*300*365/1000000</f>
        <v>84.402600000000007</v>
      </c>
      <c r="M83" s="211">
        <f t="shared" ref="M83:AC83" si="40">+(M69-M68)*300*365/1000000</f>
        <v>83.887950000000018</v>
      </c>
      <c r="N83" s="211">
        <f t="shared" si="40"/>
        <v>83.373299999999986</v>
      </c>
      <c r="O83" s="211">
        <f t="shared" si="40"/>
        <v>82.858649999999997</v>
      </c>
      <c r="P83" s="211">
        <f t="shared" si="40"/>
        <v>82.343999999999994</v>
      </c>
      <c r="Q83" s="211">
        <f t="shared" si="40"/>
        <v>81.829350000000019</v>
      </c>
      <c r="R83" s="211">
        <f t="shared" si="40"/>
        <v>80.800049999999985</v>
      </c>
      <c r="S83" s="211">
        <f t="shared" si="40"/>
        <v>80.285399999999981</v>
      </c>
      <c r="T83" s="211">
        <f t="shared" si="40"/>
        <v>79.256100000000018</v>
      </c>
      <c r="U83" s="211">
        <f t="shared" si="40"/>
        <v>78.226799999999983</v>
      </c>
      <c r="V83" s="211">
        <f t="shared" si="40"/>
        <v>77.197500000000005</v>
      </c>
      <c r="W83" s="211">
        <f t="shared" si="40"/>
        <v>76.168200000000013</v>
      </c>
      <c r="X83" s="211">
        <f t="shared" si="40"/>
        <v>75.138899999999978</v>
      </c>
      <c r="Y83" s="211">
        <f t="shared" si="40"/>
        <v>74.109600000000015</v>
      </c>
      <c r="Z83" s="211">
        <f t="shared" si="40"/>
        <v>72.565649999999991</v>
      </c>
      <c r="AA83" s="211">
        <f t="shared" si="40"/>
        <v>71.536350000000013</v>
      </c>
      <c r="AB83" s="211">
        <f t="shared" si="40"/>
        <v>69.992399999999989</v>
      </c>
      <c r="AC83" s="211">
        <f t="shared" si="40"/>
        <v>68.448450000000008</v>
      </c>
      <c r="AD83" s="30">
        <f>SUM(E83:AC83)</f>
        <v>1572.2557500000003</v>
      </c>
      <c r="AL83" s="226"/>
    </row>
    <row r="84" spans="1:38" x14ac:dyDescent="0.15">
      <c r="B84" s="230" t="s">
        <v>203</v>
      </c>
      <c r="C84" s="288"/>
      <c r="D84" s="12" t="s">
        <v>57</v>
      </c>
      <c r="E84" s="30">
        <f>SUM(E79:E83)</f>
        <v>220.2045</v>
      </c>
      <c r="F84" s="30">
        <f t="shared" ref="F84:AC84" si="41">SUM(F79:F83)</f>
        <v>220.19590410620862</v>
      </c>
      <c r="G84" s="30">
        <f t="shared" si="41"/>
        <v>220.18562518041571</v>
      </c>
      <c r="H84" s="30">
        <f t="shared" si="41"/>
        <v>220.1736434163862</v>
      </c>
      <c r="I84" s="30">
        <f t="shared" si="41"/>
        <v>1144.1529256162394</v>
      </c>
      <c r="J84" s="30">
        <f>SUM(J79:J83)</f>
        <v>211.50905023861861</v>
      </c>
      <c r="K84" s="30">
        <f t="shared" si="41"/>
        <v>211.49446448756262</v>
      </c>
      <c r="L84" s="30">
        <f t="shared" si="41"/>
        <v>210.95408746713008</v>
      </c>
      <c r="M84" s="30">
        <f t="shared" si="41"/>
        <v>210.41209862884205</v>
      </c>
      <c r="N84" s="30">
        <f t="shared" si="41"/>
        <v>209.86846154319147</v>
      </c>
      <c r="O84" s="30">
        <f t="shared" si="41"/>
        <v>1454.160077870602</v>
      </c>
      <c r="P84" s="30">
        <f t="shared" si="41"/>
        <v>170.10731965044965</v>
      </c>
      <c r="Q84" s="30">
        <f t="shared" si="41"/>
        <v>169.56778747241259</v>
      </c>
      <c r="R84" s="30">
        <f t="shared" si="41"/>
        <v>168.50333110934076</v>
      </c>
      <c r="S84" s="30">
        <f t="shared" si="41"/>
        <v>167.96115822833875</v>
      </c>
      <c r="T84" s="30">
        <f t="shared" si="41"/>
        <v>166.89391125872709</v>
      </c>
      <c r="U84" s="30">
        <f t="shared" si="41"/>
        <v>165.82502282873182</v>
      </c>
      <c r="V84" s="30">
        <f t="shared" si="41"/>
        <v>164.75454405004285</v>
      </c>
      <c r="W84" s="30">
        <f t="shared" si="41"/>
        <v>163.68240979261975</v>
      </c>
      <c r="X84" s="30">
        <f t="shared" si="41"/>
        <v>162.6084292127411</v>
      </c>
      <c r="Y84" s="30">
        <f t="shared" si="41"/>
        <v>161.53264003038444</v>
      </c>
      <c r="Z84" s="30">
        <f t="shared" si="41"/>
        <v>159.93036514147104</v>
      </c>
      <c r="AA84" s="30">
        <f t="shared" si="41"/>
        <v>158.85042022499431</v>
      </c>
      <c r="AB84" s="30">
        <f t="shared" si="41"/>
        <v>157.24342365451946</v>
      </c>
      <c r="AC84" s="30">
        <f t="shared" si="41"/>
        <v>155.63382686575619</v>
      </c>
      <c r="AD84" s="30">
        <f>SUM(E84:AC84)</f>
        <v>6826.4054280757264</v>
      </c>
      <c r="AL84" s="226"/>
    </row>
    <row r="85" spans="1:38" x14ac:dyDescent="0.15">
      <c r="A85" t="s">
        <v>326</v>
      </c>
      <c r="B85" s="4" t="s">
        <v>204</v>
      </c>
      <c r="C85" s="288"/>
      <c r="D85" s="12" t="s">
        <v>57</v>
      </c>
      <c r="E85" s="30">
        <f>E84</f>
        <v>220.2045</v>
      </c>
      <c r="F85" s="30">
        <f t="shared" ref="F85:AC85" si="42">E85+F84</f>
        <v>440.40040410620861</v>
      </c>
      <c r="G85" s="30">
        <f t="shared" si="42"/>
        <v>660.58602928662435</v>
      </c>
      <c r="H85" s="30">
        <f t="shared" si="42"/>
        <v>880.75967270301055</v>
      </c>
      <c r="I85" s="30">
        <f t="shared" si="42"/>
        <v>2024.9125983192498</v>
      </c>
      <c r="J85" s="30">
        <f>I85+J84</f>
        <v>2236.4216485578686</v>
      </c>
      <c r="K85" s="30">
        <f t="shared" si="42"/>
        <v>2447.9161130454313</v>
      </c>
      <c r="L85" s="30">
        <f t="shared" si="42"/>
        <v>2658.8702005125615</v>
      </c>
      <c r="M85" s="30">
        <f t="shared" si="42"/>
        <v>2869.2822991414037</v>
      </c>
      <c r="N85" s="30">
        <f t="shared" si="42"/>
        <v>3079.1507606845953</v>
      </c>
      <c r="O85" s="30">
        <f t="shared" si="42"/>
        <v>4533.3108385551968</v>
      </c>
      <c r="P85" s="30">
        <f t="shared" si="42"/>
        <v>4703.4181582056463</v>
      </c>
      <c r="Q85" s="30">
        <f t="shared" si="42"/>
        <v>4872.9859456780587</v>
      </c>
      <c r="R85" s="30">
        <f t="shared" si="42"/>
        <v>5041.4892767873998</v>
      </c>
      <c r="S85" s="30">
        <f t="shared" si="42"/>
        <v>5209.4504350157385</v>
      </c>
      <c r="T85" s="30">
        <f t="shared" si="42"/>
        <v>5376.3443462744654</v>
      </c>
      <c r="U85" s="30">
        <f t="shared" si="42"/>
        <v>5542.1693691031969</v>
      </c>
      <c r="V85" s="30">
        <f t="shared" si="42"/>
        <v>5706.9239131532395</v>
      </c>
      <c r="W85" s="30">
        <f t="shared" si="42"/>
        <v>5870.6063229458596</v>
      </c>
      <c r="X85" s="30">
        <f t="shared" si="42"/>
        <v>6033.2147521586003</v>
      </c>
      <c r="Y85" s="30">
        <f t="shared" si="42"/>
        <v>6194.747392188985</v>
      </c>
      <c r="Z85" s="30">
        <f t="shared" si="42"/>
        <v>6354.6777573304562</v>
      </c>
      <c r="AA85" s="30">
        <f t="shared" si="42"/>
        <v>6513.5281775554504</v>
      </c>
      <c r="AB85" s="30">
        <f t="shared" si="42"/>
        <v>6670.77160120997</v>
      </c>
      <c r="AC85" s="30">
        <f t="shared" si="42"/>
        <v>6826.4054280757264</v>
      </c>
      <c r="AD85" s="34">
        <f>AD84/COUNTA(E63:AC63)</f>
        <v>273.05621712302906</v>
      </c>
      <c r="AL85" s="226"/>
    </row>
    <row r="86" spans="1:38" x14ac:dyDescent="0.15">
      <c r="B86" t="s">
        <v>170</v>
      </c>
      <c r="C86" t="s">
        <v>205</v>
      </c>
      <c r="AD86" s="35" t="s">
        <v>181</v>
      </c>
      <c r="AL86" s="226"/>
    </row>
    <row r="87" spans="1:38" x14ac:dyDescent="0.15">
      <c r="B87" t="s">
        <v>172</v>
      </c>
      <c r="C87" t="s">
        <v>183</v>
      </c>
      <c r="AL87" s="226"/>
    </row>
    <row r="88" spans="1:38" x14ac:dyDescent="0.15">
      <c r="B88" t="s">
        <v>173</v>
      </c>
      <c r="C88" t="s">
        <v>184</v>
      </c>
      <c r="AL88" s="226"/>
    </row>
    <row r="89" spans="1:38" x14ac:dyDescent="0.15">
      <c r="B89" s="22" t="s">
        <v>174</v>
      </c>
      <c r="C89" s="23" t="s">
        <v>185</v>
      </c>
      <c r="AL89" s="226"/>
    </row>
    <row r="90" spans="1:38" ht="36" customHeight="1" x14ac:dyDescent="0.15">
      <c r="B90" s="24" t="s">
        <v>175</v>
      </c>
      <c r="C90" s="368" t="s">
        <v>206</v>
      </c>
      <c r="D90" s="368"/>
      <c r="E90" s="368"/>
      <c r="F90" s="368"/>
      <c r="G90" s="368"/>
      <c r="H90" s="368"/>
      <c r="I90" s="368"/>
      <c r="J90" s="368"/>
      <c r="K90" s="368"/>
      <c r="L90" s="368"/>
      <c r="M90" s="368"/>
      <c r="N90" s="368"/>
      <c r="O90" s="368"/>
      <c r="P90" s="368"/>
      <c r="Q90" s="368"/>
      <c r="R90" s="368"/>
      <c r="S90" s="368"/>
      <c r="T90" s="368"/>
      <c r="U90" s="368"/>
      <c r="V90" s="368"/>
      <c r="W90" s="368"/>
      <c r="X90" s="368"/>
      <c r="Y90" s="368"/>
      <c r="Z90" s="368"/>
      <c r="AA90" s="368"/>
      <c r="AB90" s="368"/>
      <c r="AC90" s="368"/>
      <c r="AD90" s="368"/>
      <c r="AL90" s="226"/>
    </row>
    <row r="91" spans="1:38" x14ac:dyDescent="0.15">
      <c r="B91" s="22" t="s">
        <v>177</v>
      </c>
      <c r="C91" s="23" t="s">
        <v>300</v>
      </c>
      <c r="AL91" s="226"/>
    </row>
    <row r="92" spans="1:38" ht="15.75" x14ac:dyDescent="0.15">
      <c r="B92" s="22" t="s">
        <v>201</v>
      </c>
      <c r="C92" s="23" t="s">
        <v>301</v>
      </c>
      <c r="AL92" s="226"/>
    </row>
    <row r="93" spans="1:38" x14ac:dyDescent="0.15">
      <c r="B93" t="s">
        <v>203</v>
      </c>
      <c r="C93" s="208" t="s">
        <v>302</v>
      </c>
      <c r="AL93" s="226"/>
    </row>
    <row r="94" spans="1:38" x14ac:dyDescent="0.15">
      <c r="B94" t="s">
        <v>204</v>
      </c>
      <c r="C94" s="23" t="s">
        <v>188</v>
      </c>
      <c r="AL94" s="226"/>
    </row>
    <row r="95" spans="1:38" outlineLevel="1" x14ac:dyDescent="0.15"/>
    <row r="96" spans="1:38" outlineLevel="1" x14ac:dyDescent="0.15"/>
    <row r="97" outlineLevel="1" x14ac:dyDescent="0.15"/>
    <row r="98" outlineLevel="1" x14ac:dyDescent="0.15"/>
    <row r="99" outlineLevel="1" x14ac:dyDescent="0.15"/>
    <row r="100" outlineLevel="1" x14ac:dyDescent="0.15"/>
    <row r="101" outlineLevel="1" x14ac:dyDescent="0.15"/>
    <row r="102" outlineLevel="1" x14ac:dyDescent="0.15"/>
    <row r="103" outlineLevel="1" x14ac:dyDescent="0.15"/>
    <row r="104" outlineLevel="1" x14ac:dyDescent="0.15"/>
    <row r="105" outlineLevel="1" x14ac:dyDescent="0.15"/>
    <row r="106" outlineLevel="1" x14ac:dyDescent="0.15"/>
    <row r="107" outlineLevel="1" x14ac:dyDescent="0.15"/>
    <row r="108" outlineLevel="1" x14ac:dyDescent="0.15"/>
    <row r="109" outlineLevel="1" x14ac:dyDescent="0.15"/>
    <row r="110" outlineLevel="1" x14ac:dyDescent="0.15"/>
    <row r="111" outlineLevel="1" x14ac:dyDescent="0.15"/>
    <row r="112" outlineLevel="1" x14ac:dyDescent="0.15"/>
    <row r="113" spans="2:35" outlineLevel="1" x14ac:dyDescent="0.15"/>
    <row r="117" spans="2:35" s="19" customFormat="1" ht="18.75" x14ac:dyDescent="0.15">
      <c r="F117" s="19" t="s">
        <v>207</v>
      </c>
    </row>
    <row r="119" spans="2:35" x14ac:dyDescent="0.15">
      <c r="B119" s="227" t="s">
        <v>46</v>
      </c>
      <c r="C119" s="7" t="s">
        <v>2</v>
      </c>
      <c r="D119" s="7" t="s">
        <v>142</v>
      </c>
      <c r="E119" s="29">
        <v>1</v>
      </c>
      <c r="F119" s="29">
        <v>2</v>
      </c>
      <c r="G119" s="29">
        <v>3</v>
      </c>
      <c r="H119" s="29">
        <v>4</v>
      </c>
      <c r="I119" s="29">
        <v>5</v>
      </c>
      <c r="J119" s="29">
        <v>6</v>
      </c>
      <c r="K119" s="29">
        <v>7</v>
      </c>
      <c r="L119" s="29">
        <v>8</v>
      </c>
      <c r="M119" s="29">
        <v>9</v>
      </c>
      <c r="N119" s="29">
        <v>10</v>
      </c>
      <c r="O119" s="29">
        <v>11</v>
      </c>
      <c r="P119" s="29">
        <v>12</v>
      </c>
      <c r="Q119" s="29">
        <v>13</v>
      </c>
      <c r="R119" s="29">
        <v>14</v>
      </c>
      <c r="S119" s="29">
        <v>15</v>
      </c>
      <c r="T119" s="29">
        <v>16</v>
      </c>
      <c r="U119" s="29">
        <v>17</v>
      </c>
      <c r="V119" s="29">
        <v>18</v>
      </c>
      <c r="W119" s="29">
        <v>19</v>
      </c>
      <c r="X119" s="29">
        <v>20</v>
      </c>
      <c r="Y119" s="29">
        <v>21</v>
      </c>
      <c r="Z119" s="29">
        <v>22</v>
      </c>
      <c r="AA119" s="29">
        <v>23</v>
      </c>
      <c r="AB119" s="29">
        <v>24</v>
      </c>
      <c r="AC119" s="29">
        <v>25</v>
      </c>
      <c r="AD119" s="7" t="s">
        <v>141</v>
      </c>
    </row>
    <row r="120" spans="2:35" x14ac:dyDescent="0.15">
      <c r="B120" s="346" t="s">
        <v>170</v>
      </c>
      <c r="C120" s="288" t="s">
        <v>171</v>
      </c>
      <c r="D120" s="15" t="s">
        <v>94</v>
      </c>
      <c r="E120" s="29">
        <f t="shared" ref="E120:AC120" si="43">E12</f>
        <v>9000</v>
      </c>
      <c r="F120" s="29">
        <f t="shared" si="43"/>
        <v>9000</v>
      </c>
      <c r="G120" s="29">
        <f t="shared" si="43"/>
        <v>9000</v>
      </c>
      <c r="H120" s="29">
        <f t="shared" si="43"/>
        <v>9000</v>
      </c>
      <c r="I120" s="29">
        <f t="shared" si="43"/>
        <v>9000</v>
      </c>
      <c r="J120" s="29">
        <f t="shared" si="43"/>
        <v>9000</v>
      </c>
      <c r="K120" s="29">
        <f t="shared" si="43"/>
        <v>9000</v>
      </c>
      <c r="L120" s="29">
        <f t="shared" si="43"/>
        <v>9000</v>
      </c>
      <c r="M120" s="29">
        <f t="shared" si="43"/>
        <v>9000</v>
      </c>
      <c r="N120" s="29">
        <f t="shared" si="43"/>
        <v>9000</v>
      </c>
      <c r="O120" s="29">
        <f t="shared" si="43"/>
        <v>9000</v>
      </c>
      <c r="P120" s="109">
        <f t="shared" si="43"/>
        <v>5500</v>
      </c>
      <c r="Q120" s="29">
        <f t="shared" si="43"/>
        <v>5500</v>
      </c>
      <c r="R120" s="29">
        <f t="shared" si="43"/>
        <v>5500</v>
      </c>
      <c r="S120" s="29">
        <f t="shared" si="43"/>
        <v>5500</v>
      </c>
      <c r="T120" s="29">
        <f t="shared" si="43"/>
        <v>5500</v>
      </c>
      <c r="U120" s="29">
        <f t="shared" si="43"/>
        <v>5500</v>
      </c>
      <c r="V120" s="29">
        <f t="shared" si="43"/>
        <v>5500</v>
      </c>
      <c r="W120" s="29">
        <f t="shared" si="43"/>
        <v>5500</v>
      </c>
      <c r="X120" s="29">
        <f t="shared" si="43"/>
        <v>5500</v>
      </c>
      <c r="Y120" s="29">
        <f t="shared" si="43"/>
        <v>5500</v>
      </c>
      <c r="Z120" s="29">
        <f t="shared" si="43"/>
        <v>5500</v>
      </c>
      <c r="AA120" s="29">
        <f t="shared" si="43"/>
        <v>5500</v>
      </c>
      <c r="AB120" s="29">
        <f t="shared" si="43"/>
        <v>5500</v>
      </c>
      <c r="AC120" s="29">
        <f t="shared" si="43"/>
        <v>5500</v>
      </c>
      <c r="AD120" s="7" t="s">
        <v>57</v>
      </c>
    </row>
    <row r="121" spans="2:35" ht="24" x14ac:dyDescent="0.15">
      <c r="B121" s="346"/>
      <c r="C121" s="282"/>
      <c r="D121" s="122" t="s">
        <v>208</v>
      </c>
      <c r="E121" s="134">
        <v>200</v>
      </c>
      <c r="F121" s="134">
        <v>200</v>
      </c>
      <c r="G121" s="134">
        <v>200</v>
      </c>
      <c r="H121" s="134">
        <v>200</v>
      </c>
      <c r="I121" s="134">
        <v>200</v>
      </c>
      <c r="J121" s="134">
        <v>200</v>
      </c>
      <c r="K121" s="134">
        <v>200</v>
      </c>
      <c r="L121" s="134">
        <v>200</v>
      </c>
      <c r="M121" s="134">
        <v>200</v>
      </c>
      <c r="N121" s="134">
        <v>200</v>
      </c>
      <c r="O121" s="134">
        <v>200</v>
      </c>
      <c r="P121" s="134">
        <f>+CEILING(P127/0.7,50)</f>
        <v>150</v>
      </c>
      <c r="Q121" s="134">
        <f>+P121</f>
        <v>150</v>
      </c>
      <c r="R121" s="134">
        <f>+Q121</f>
        <v>150</v>
      </c>
      <c r="S121" s="134">
        <f t="shared" ref="S121:AC121" si="44">+R121</f>
        <v>150</v>
      </c>
      <c r="T121" s="134">
        <f t="shared" si="44"/>
        <v>150</v>
      </c>
      <c r="U121" s="134">
        <f t="shared" si="44"/>
        <v>150</v>
      </c>
      <c r="V121" s="134">
        <f t="shared" si="44"/>
        <v>150</v>
      </c>
      <c r="W121" s="134">
        <f t="shared" si="44"/>
        <v>150</v>
      </c>
      <c r="X121" s="134">
        <f t="shared" si="44"/>
        <v>150</v>
      </c>
      <c r="Y121" s="134">
        <f t="shared" si="44"/>
        <v>150</v>
      </c>
      <c r="Z121" s="134">
        <f t="shared" si="44"/>
        <v>150</v>
      </c>
      <c r="AA121" s="134">
        <f t="shared" si="44"/>
        <v>150</v>
      </c>
      <c r="AB121" s="134">
        <f t="shared" si="44"/>
        <v>150</v>
      </c>
      <c r="AC121" s="134">
        <f t="shared" si="44"/>
        <v>150</v>
      </c>
      <c r="AD121" s="7" t="s">
        <v>57</v>
      </c>
    </row>
    <row r="122" spans="2:35" ht="39.950000000000003" customHeight="1" x14ac:dyDescent="0.15">
      <c r="B122" s="346"/>
      <c r="C122" s="282"/>
      <c r="D122" s="131" t="s">
        <v>209</v>
      </c>
      <c r="E122" s="29">
        <f t="shared" ref="E122:AC122" si="45">E13</f>
        <v>25</v>
      </c>
      <c r="F122" s="29">
        <f t="shared" si="45"/>
        <v>25</v>
      </c>
      <c r="G122" s="29">
        <f t="shared" si="45"/>
        <v>25</v>
      </c>
      <c r="H122" s="29">
        <f t="shared" si="45"/>
        <v>25</v>
      </c>
      <c r="I122" s="29">
        <f t="shared" si="45"/>
        <v>25</v>
      </c>
      <c r="J122" s="109">
        <f t="shared" si="45"/>
        <v>20</v>
      </c>
      <c r="K122" s="29">
        <f t="shared" si="45"/>
        <v>20</v>
      </c>
      <c r="L122" s="29">
        <f t="shared" si="45"/>
        <v>20</v>
      </c>
      <c r="M122" s="29">
        <f t="shared" si="45"/>
        <v>20</v>
      </c>
      <c r="N122" s="29">
        <f t="shared" si="45"/>
        <v>20</v>
      </c>
      <c r="O122" s="29">
        <f t="shared" si="45"/>
        <v>20</v>
      </c>
      <c r="P122" s="29">
        <f t="shared" si="45"/>
        <v>20</v>
      </c>
      <c r="Q122" s="29">
        <f t="shared" si="45"/>
        <v>20</v>
      </c>
      <c r="R122" s="29">
        <f t="shared" si="45"/>
        <v>20</v>
      </c>
      <c r="S122" s="29">
        <f t="shared" si="45"/>
        <v>20</v>
      </c>
      <c r="T122" s="29">
        <f t="shared" si="45"/>
        <v>20</v>
      </c>
      <c r="U122" s="29">
        <f t="shared" si="45"/>
        <v>20</v>
      </c>
      <c r="V122" s="29">
        <f t="shared" si="45"/>
        <v>20</v>
      </c>
      <c r="W122" s="29">
        <f t="shared" si="45"/>
        <v>20</v>
      </c>
      <c r="X122" s="29">
        <f t="shared" si="45"/>
        <v>20</v>
      </c>
      <c r="Y122" s="29">
        <f t="shared" si="45"/>
        <v>20</v>
      </c>
      <c r="Z122" s="29">
        <f t="shared" si="45"/>
        <v>20</v>
      </c>
      <c r="AA122" s="29">
        <f t="shared" si="45"/>
        <v>20</v>
      </c>
      <c r="AB122" s="29">
        <f t="shared" si="45"/>
        <v>20</v>
      </c>
      <c r="AC122" s="29">
        <f t="shared" si="45"/>
        <v>20</v>
      </c>
      <c r="AD122" s="7" t="s">
        <v>57</v>
      </c>
    </row>
    <row r="123" spans="2:35" ht="13.5" customHeight="1" x14ac:dyDescent="0.15">
      <c r="B123" s="354" t="s">
        <v>210</v>
      </c>
      <c r="C123" s="290" t="s">
        <v>211</v>
      </c>
      <c r="D123" s="7" t="s">
        <v>94</v>
      </c>
      <c r="E123" s="30">
        <f t="shared" ref="E123:AC123" si="46">E14</f>
        <v>4060</v>
      </c>
      <c r="F123" s="30">
        <f t="shared" si="46"/>
        <v>4046.37</v>
      </c>
      <c r="G123" s="30">
        <f t="shared" si="46"/>
        <v>4030.13</v>
      </c>
      <c r="H123" s="30">
        <f t="shared" si="46"/>
        <v>4011.28</v>
      </c>
      <c r="I123" s="30">
        <f t="shared" si="46"/>
        <v>3989.53</v>
      </c>
      <c r="J123" s="30">
        <f t="shared" si="46"/>
        <v>3965.17</v>
      </c>
      <c r="K123" s="30">
        <f t="shared" si="46"/>
        <v>3938.2</v>
      </c>
      <c r="L123" s="30">
        <f t="shared" si="46"/>
        <v>3908.33</v>
      </c>
      <c r="M123" s="30">
        <f t="shared" si="46"/>
        <v>3875.85</v>
      </c>
      <c r="N123" s="30">
        <f t="shared" si="46"/>
        <v>3840.76</v>
      </c>
      <c r="O123" s="30">
        <f t="shared" si="46"/>
        <v>3802.77</v>
      </c>
      <c r="P123" s="30">
        <f t="shared" si="46"/>
        <v>3762.17</v>
      </c>
      <c r="Q123" s="30">
        <f t="shared" si="46"/>
        <v>3718.96</v>
      </c>
      <c r="R123" s="30">
        <f t="shared" si="46"/>
        <v>3672.85</v>
      </c>
      <c r="S123" s="30">
        <f t="shared" si="46"/>
        <v>3624.13</v>
      </c>
      <c r="T123" s="30">
        <f t="shared" si="46"/>
        <v>3572.8</v>
      </c>
      <c r="U123" s="30">
        <f t="shared" si="46"/>
        <v>3518.57</v>
      </c>
      <c r="V123" s="30">
        <f t="shared" si="46"/>
        <v>3461.73</v>
      </c>
      <c r="W123" s="30">
        <f t="shared" si="46"/>
        <v>3402.28</v>
      </c>
      <c r="X123" s="30">
        <f t="shared" si="46"/>
        <v>3339.93</v>
      </c>
      <c r="Y123" s="30">
        <f t="shared" si="46"/>
        <v>3274.97</v>
      </c>
      <c r="Z123" s="30">
        <f t="shared" si="46"/>
        <v>3207.4</v>
      </c>
      <c r="AA123" s="30">
        <f t="shared" si="46"/>
        <v>3136.93</v>
      </c>
      <c r="AB123" s="30">
        <f t="shared" si="46"/>
        <v>3063.85</v>
      </c>
      <c r="AC123" s="30">
        <f t="shared" si="46"/>
        <v>2988.16</v>
      </c>
      <c r="AD123" s="7" t="s">
        <v>57</v>
      </c>
    </row>
    <row r="124" spans="2:35" x14ac:dyDescent="0.15">
      <c r="B124" s="354"/>
      <c r="C124" s="303"/>
      <c r="D124" s="96" t="s">
        <v>98</v>
      </c>
      <c r="E124" s="13">
        <f t="shared" ref="E124:AC124" si="47">E15</f>
        <v>16.600000000000001</v>
      </c>
      <c r="F124" s="13">
        <f t="shared" si="47"/>
        <v>16.600000000000001</v>
      </c>
      <c r="G124" s="13">
        <f t="shared" si="47"/>
        <v>16.600000000000001</v>
      </c>
      <c r="H124" s="13">
        <f t="shared" si="47"/>
        <v>16.600000000000001</v>
      </c>
      <c r="I124" s="13">
        <f t="shared" si="47"/>
        <v>16.600000000000001</v>
      </c>
      <c r="J124" s="13">
        <f t="shared" si="47"/>
        <v>16.5</v>
      </c>
      <c r="K124" s="13">
        <f t="shared" si="47"/>
        <v>16.5</v>
      </c>
      <c r="L124" s="13">
        <f t="shared" si="47"/>
        <v>16.399999999999999</v>
      </c>
      <c r="M124" s="13">
        <f t="shared" si="47"/>
        <v>16.3</v>
      </c>
      <c r="N124" s="13">
        <f t="shared" si="47"/>
        <v>16.2</v>
      </c>
      <c r="O124" s="13">
        <f t="shared" si="47"/>
        <v>16.100000000000001</v>
      </c>
      <c r="P124" s="13">
        <f t="shared" si="47"/>
        <v>16</v>
      </c>
      <c r="Q124" s="13">
        <f t="shared" si="47"/>
        <v>15.9</v>
      </c>
      <c r="R124" s="13">
        <f t="shared" si="47"/>
        <v>15.7</v>
      </c>
      <c r="S124" s="13">
        <f t="shared" si="47"/>
        <v>15.6</v>
      </c>
      <c r="T124" s="13">
        <f t="shared" si="47"/>
        <v>15.4</v>
      </c>
      <c r="U124" s="13">
        <f t="shared" si="47"/>
        <v>15.2</v>
      </c>
      <c r="V124" s="13">
        <f t="shared" si="47"/>
        <v>15</v>
      </c>
      <c r="W124" s="13">
        <f t="shared" si="47"/>
        <v>14.8</v>
      </c>
      <c r="X124" s="13">
        <f t="shared" si="47"/>
        <v>14.6</v>
      </c>
      <c r="Y124" s="13">
        <f t="shared" si="47"/>
        <v>14.4</v>
      </c>
      <c r="Z124" s="13">
        <f t="shared" si="47"/>
        <v>14.1</v>
      </c>
      <c r="AA124" s="13">
        <f t="shared" si="47"/>
        <v>13.9</v>
      </c>
      <c r="AB124" s="13">
        <f t="shared" si="47"/>
        <v>13.6</v>
      </c>
      <c r="AC124" s="13">
        <f t="shared" si="47"/>
        <v>13.3</v>
      </c>
      <c r="AD124" s="7" t="s">
        <v>57</v>
      </c>
    </row>
    <row r="125" spans="2:35" ht="26.1" customHeight="1" x14ac:dyDescent="0.15">
      <c r="B125" s="355" t="s">
        <v>212</v>
      </c>
      <c r="C125" s="303"/>
      <c r="D125" s="55" t="s">
        <v>213</v>
      </c>
      <c r="E125" s="135">
        <f t="shared" ref="E125:AC125" si="48">ROUND((E123*$AH$125/1000000*$AH$126/100*$AH$128/100)/($AH$130/100),0)</f>
        <v>69</v>
      </c>
      <c r="F125" s="135">
        <f t="shared" si="48"/>
        <v>69</v>
      </c>
      <c r="G125" s="135">
        <f t="shared" si="48"/>
        <v>69</v>
      </c>
      <c r="H125" s="135">
        <f t="shared" si="48"/>
        <v>69</v>
      </c>
      <c r="I125" s="135">
        <f t="shared" si="48"/>
        <v>68</v>
      </c>
      <c r="J125" s="136">
        <f t="shared" si="48"/>
        <v>68</v>
      </c>
      <c r="K125" s="136">
        <f t="shared" si="48"/>
        <v>67</v>
      </c>
      <c r="L125" s="136">
        <f t="shared" si="48"/>
        <v>67</v>
      </c>
      <c r="M125" s="136">
        <f t="shared" si="48"/>
        <v>66</v>
      </c>
      <c r="N125" s="136">
        <f t="shared" si="48"/>
        <v>66</v>
      </c>
      <c r="O125" s="136">
        <f t="shared" si="48"/>
        <v>65</v>
      </c>
      <c r="P125" s="136">
        <f t="shared" si="48"/>
        <v>64</v>
      </c>
      <c r="Q125" s="136">
        <f t="shared" si="48"/>
        <v>64</v>
      </c>
      <c r="R125" s="136">
        <f t="shared" si="48"/>
        <v>63</v>
      </c>
      <c r="S125" s="136">
        <f t="shared" si="48"/>
        <v>62</v>
      </c>
      <c r="T125" s="136">
        <f t="shared" si="48"/>
        <v>61</v>
      </c>
      <c r="U125" s="136">
        <f t="shared" si="48"/>
        <v>60</v>
      </c>
      <c r="V125" s="136">
        <f t="shared" si="48"/>
        <v>59</v>
      </c>
      <c r="W125" s="136">
        <f t="shared" si="48"/>
        <v>58</v>
      </c>
      <c r="X125" s="136">
        <f t="shared" si="48"/>
        <v>57</v>
      </c>
      <c r="Y125" s="136">
        <f t="shared" si="48"/>
        <v>56</v>
      </c>
      <c r="Z125" s="136">
        <f t="shared" si="48"/>
        <v>55</v>
      </c>
      <c r="AA125" s="136">
        <f t="shared" si="48"/>
        <v>54</v>
      </c>
      <c r="AB125" s="136">
        <f t="shared" si="48"/>
        <v>52</v>
      </c>
      <c r="AC125" s="136">
        <f t="shared" si="48"/>
        <v>51</v>
      </c>
      <c r="AD125" s="7"/>
      <c r="AG125" s="141" t="s">
        <v>118</v>
      </c>
      <c r="AH125" s="141">
        <v>180</v>
      </c>
      <c r="AI125" t="s">
        <v>119</v>
      </c>
    </row>
    <row r="126" spans="2:35" x14ac:dyDescent="0.15">
      <c r="B126" s="356"/>
      <c r="C126" s="303"/>
      <c r="D126" s="96" t="s">
        <v>98</v>
      </c>
      <c r="E126" s="135">
        <f>+E124</f>
        <v>16.600000000000001</v>
      </c>
      <c r="F126" s="135">
        <f>+F124</f>
        <v>16.600000000000001</v>
      </c>
      <c r="G126" s="135">
        <f>+G124</f>
        <v>16.600000000000001</v>
      </c>
      <c r="H126" s="135">
        <f>+H124</f>
        <v>16.600000000000001</v>
      </c>
      <c r="I126" s="135">
        <f>+I124</f>
        <v>16.600000000000001</v>
      </c>
      <c r="J126" s="137">
        <f>J124</f>
        <v>16.5</v>
      </c>
      <c r="K126" s="137">
        <f t="shared" ref="K126:AC126" si="49">K124</f>
        <v>16.5</v>
      </c>
      <c r="L126" s="137">
        <f t="shared" si="49"/>
        <v>16.399999999999999</v>
      </c>
      <c r="M126" s="137">
        <f t="shared" si="49"/>
        <v>16.3</v>
      </c>
      <c r="N126" s="137">
        <f t="shared" si="49"/>
        <v>16.2</v>
      </c>
      <c r="O126" s="137">
        <f t="shared" si="49"/>
        <v>16.100000000000001</v>
      </c>
      <c r="P126" s="137">
        <f t="shared" si="49"/>
        <v>16</v>
      </c>
      <c r="Q126" s="137">
        <f t="shared" si="49"/>
        <v>15.9</v>
      </c>
      <c r="R126" s="137">
        <f t="shared" si="49"/>
        <v>15.7</v>
      </c>
      <c r="S126" s="137">
        <f t="shared" si="49"/>
        <v>15.6</v>
      </c>
      <c r="T126" s="137">
        <f t="shared" si="49"/>
        <v>15.4</v>
      </c>
      <c r="U126" s="137">
        <f t="shared" si="49"/>
        <v>15.2</v>
      </c>
      <c r="V126" s="137">
        <f t="shared" si="49"/>
        <v>15</v>
      </c>
      <c r="W126" s="137">
        <f t="shared" si="49"/>
        <v>14.8</v>
      </c>
      <c r="X126" s="137">
        <f t="shared" si="49"/>
        <v>14.6</v>
      </c>
      <c r="Y126" s="137">
        <f t="shared" si="49"/>
        <v>14.4</v>
      </c>
      <c r="Z126" s="137">
        <f t="shared" si="49"/>
        <v>14.1</v>
      </c>
      <c r="AA126" s="137">
        <f t="shared" si="49"/>
        <v>13.9</v>
      </c>
      <c r="AB126" s="137">
        <f t="shared" si="49"/>
        <v>13.6</v>
      </c>
      <c r="AC126" s="137">
        <f t="shared" si="49"/>
        <v>13.3</v>
      </c>
      <c r="AD126" s="7"/>
      <c r="AG126" s="141" t="s">
        <v>121</v>
      </c>
      <c r="AH126" s="141">
        <v>95</v>
      </c>
      <c r="AI126" t="s">
        <v>8</v>
      </c>
    </row>
    <row r="127" spans="2:35" ht="22.5" x14ac:dyDescent="0.15">
      <c r="B127" s="357"/>
      <c r="C127" s="301"/>
      <c r="D127" s="55" t="s">
        <v>214</v>
      </c>
      <c r="E127" s="135"/>
      <c r="F127" s="135"/>
      <c r="G127" s="135"/>
      <c r="H127" s="135"/>
      <c r="I127" s="135"/>
      <c r="J127" s="13">
        <f>SUM(J125:J126)</f>
        <v>84.5</v>
      </c>
      <c r="K127" s="13">
        <f t="shared" ref="K127:AC127" si="50">SUM(K125:K126)</f>
        <v>83.5</v>
      </c>
      <c r="L127" s="13">
        <f t="shared" si="50"/>
        <v>83.4</v>
      </c>
      <c r="M127" s="13">
        <f t="shared" si="50"/>
        <v>82.3</v>
      </c>
      <c r="N127" s="13">
        <f t="shared" si="50"/>
        <v>82.2</v>
      </c>
      <c r="O127" s="13">
        <f t="shared" si="50"/>
        <v>81.099999999999994</v>
      </c>
      <c r="P127" s="13">
        <f>SUM(P125:P126)</f>
        <v>80</v>
      </c>
      <c r="Q127" s="13">
        <f t="shared" si="50"/>
        <v>79.900000000000006</v>
      </c>
      <c r="R127" s="13">
        <f t="shared" si="50"/>
        <v>78.7</v>
      </c>
      <c r="S127" s="13">
        <f t="shared" si="50"/>
        <v>77.599999999999994</v>
      </c>
      <c r="T127" s="13">
        <f t="shared" si="50"/>
        <v>76.400000000000006</v>
      </c>
      <c r="U127" s="13">
        <f t="shared" si="50"/>
        <v>75.2</v>
      </c>
      <c r="V127" s="13">
        <f t="shared" si="50"/>
        <v>74</v>
      </c>
      <c r="W127" s="13">
        <f t="shared" si="50"/>
        <v>72.8</v>
      </c>
      <c r="X127" s="13">
        <f t="shared" si="50"/>
        <v>71.599999999999994</v>
      </c>
      <c r="Y127" s="13">
        <f t="shared" si="50"/>
        <v>70.400000000000006</v>
      </c>
      <c r="Z127" s="13">
        <f t="shared" si="50"/>
        <v>69.099999999999994</v>
      </c>
      <c r="AA127" s="13">
        <f t="shared" si="50"/>
        <v>67.900000000000006</v>
      </c>
      <c r="AB127" s="13">
        <f t="shared" si="50"/>
        <v>65.599999999999994</v>
      </c>
      <c r="AC127" s="13">
        <f t="shared" si="50"/>
        <v>64.3</v>
      </c>
      <c r="AD127" s="7" t="s">
        <v>57</v>
      </c>
    </row>
    <row r="128" spans="2:35" x14ac:dyDescent="0.15">
      <c r="B128" s="346" t="s">
        <v>173</v>
      </c>
      <c r="C128" s="283" t="s">
        <v>8</v>
      </c>
      <c r="D128" s="7" t="s">
        <v>94</v>
      </c>
      <c r="E128" s="37">
        <f t="shared" ref="E128:AC128" si="51">E123/E120</f>
        <v>0.45111111111111113</v>
      </c>
      <c r="F128" s="37">
        <f t="shared" si="51"/>
        <v>0.44959666666666664</v>
      </c>
      <c r="G128" s="37">
        <f t="shared" si="51"/>
        <v>0.44779222222222226</v>
      </c>
      <c r="H128" s="37">
        <f t="shared" si="51"/>
        <v>0.4456977777777778</v>
      </c>
      <c r="I128" s="37">
        <f>I123/I120</f>
        <v>0.44328111111111113</v>
      </c>
      <c r="J128" s="37">
        <f t="shared" si="51"/>
        <v>0.44057444444444444</v>
      </c>
      <c r="K128" s="37">
        <f t="shared" si="51"/>
        <v>0.43757777777777773</v>
      </c>
      <c r="L128" s="37">
        <f t="shared" si="51"/>
        <v>0.43425888888888886</v>
      </c>
      <c r="M128" s="37">
        <f t="shared" si="51"/>
        <v>0.43064999999999998</v>
      </c>
      <c r="N128" s="37">
        <f t="shared" si="51"/>
        <v>0.42675111111111114</v>
      </c>
      <c r="O128" s="37">
        <f t="shared" si="51"/>
        <v>0.42253000000000002</v>
      </c>
      <c r="P128" s="37">
        <f t="shared" si="51"/>
        <v>0.68403090909090913</v>
      </c>
      <c r="Q128" s="37">
        <f t="shared" si="51"/>
        <v>0.67617454545454547</v>
      </c>
      <c r="R128" s="37">
        <f t="shared" si="51"/>
        <v>0.6677909090909091</v>
      </c>
      <c r="S128" s="37">
        <f t="shared" si="51"/>
        <v>0.65893272727272734</v>
      </c>
      <c r="T128" s="37">
        <f t="shared" si="51"/>
        <v>0.64960000000000007</v>
      </c>
      <c r="U128" s="37">
        <f t="shared" si="51"/>
        <v>0.63973999999999998</v>
      </c>
      <c r="V128" s="37">
        <f t="shared" si="51"/>
        <v>0.6294054545454546</v>
      </c>
      <c r="W128" s="37">
        <f t="shared" si="51"/>
        <v>0.61859636363636372</v>
      </c>
      <c r="X128" s="37">
        <f t="shared" si="51"/>
        <v>0.60726000000000002</v>
      </c>
      <c r="Y128" s="37">
        <f t="shared" si="51"/>
        <v>0.59544909090909093</v>
      </c>
      <c r="Z128" s="37">
        <f t="shared" si="51"/>
        <v>0.58316363636363633</v>
      </c>
      <c r="AA128" s="37">
        <f t="shared" si="51"/>
        <v>0.57035090909090902</v>
      </c>
      <c r="AB128" s="37">
        <f t="shared" si="51"/>
        <v>0.55706363636363632</v>
      </c>
      <c r="AC128" s="37">
        <f t="shared" si="51"/>
        <v>0.54330181818181811</v>
      </c>
      <c r="AD128" s="7" t="s">
        <v>57</v>
      </c>
      <c r="AG128" s="141" t="s">
        <v>122</v>
      </c>
      <c r="AH128" s="141">
        <v>100</v>
      </c>
      <c r="AI128" t="s">
        <v>8</v>
      </c>
    </row>
    <row r="129" spans="1:37" x14ac:dyDescent="0.15">
      <c r="B129" s="346"/>
      <c r="C129" s="285"/>
      <c r="D129" s="96" t="s">
        <v>98</v>
      </c>
      <c r="E129" s="37">
        <f t="shared" ref="E129:I129" si="52">E124/E122</f>
        <v>0.66400000000000003</v>
      </c>
      <c r="F129" s="37">
        <f t="shared" si="52"/>
        <v>0.66400000000000003</v>
      </c>
      <c r="G129" s="37">
        <f t="shared" si="52"/>
        <v>0.66400000000000003</v>
      </c>
      <c r="H129" s="37">
        <f t="shared" si="52"/>
        <v>0.66400000000000003</v>
      </c>
      <c r="I129" s="37">
        <f t="shared" si="52"/>
        <v>0.66400000000000003</v>
      </c>
      <c r="J129" s="37">
        <f>J124/J122</f>
        <v>0.82499999999999996</v>
      </c>
      <c r="K129" s="37">
        <f t="shared" ref="K129:AC129" si="53">K124/K122</f>
        <v>0.82499999999999996</v>
      </c>
      <c r="L129" s="37">
        <f t="shared" si="53"/>
        <v>0.82</v>
      </c>
      <c r="M129" s="37">
        <f t="shared" si="53"/>
        <v>0.81500000000000006</v>
      </c>
      <c r="N129" s="37">
        <f t="shared" si="53"/>
        <v>0.80999999999999994</v>
      </c>
      <c r="O129" s="37">
        <f t="shared" si="53"/>
        <v>0.80500000000000005</v>
      </c>
      <c r="P129" s="37">
        <f t="shared" si="53"/>
        <v>0.8</v>
      </c>
      <c r="Q129" s="37">
        <f t="shared" si="53"/>
        <v>0.79500000000000004</v>
      </c>
      <c r="R129" s="37">
        <f t="shared" si="53"/>
        <v>0.78499999999999992</v>
      </c>
      <c r="S129" s="37">
        <f t="shared" si="53"/>
        <v>0.78</v>
      </c>
      <c r="T129" s="37">
        <f t="shared" si="53"/>
        <v>0.77</v>
      </c>
      <c r="U129" s="37">
        <f t="shared" si="53"/>
        <v>0.76</v>
      </c>
      <c r="V129" s="37">
        <f t="shared" si="53"/>
        <v>0.75</v>
      </c>
      <c r="W129" s="37">
        <f t="shared" si="53"/>
        <v>0.74</v>
      </c>
      <c r="X129" s="37">
        <f t="shared" si="53"/>
        <v>0.73</v>
      </c>
      <c r="Y129" s="37">
        <f t="shared" si="53"/>
        <v>0.72</v>
      </c>
      <c r="Z129" s="37">
        <f t="shared" si="53"/>
        <v>0.70499999999999996</v>
      </c>
      <c r="AA129" s="37">
        <f t="shared" si="53"/>
        <v>0.69500000000000006</v>
      </c>
      <c r="AB129" s="37">
        <f t="shared" si="53"/>
        <v>0.67999999999999994</v>
      </c>
      <c r="AC129" s="37">
        <f t="shared" si="53"/>
        <v>0.66500000000000004</v>
      </c>
      <c r="AD129" s="7" t="s">
        <v>57</v>
      </c>
      <c r="AG129" s="141"/>
      <c r="AH129" s="141">
        <v>75</v>
      </c>
      <c r="AI129" t="s">
        <v>8</v>
      </c>
    </row>
    <row r="130" spans="1:37" x14ac:dyDescent="0.15">
      <c r="B130" s="354" t="s">
        <v>174</v>
      </c>
      <c r="C130" s="288" t="s">
        <v>57</v>
      </c>
      <c r="D130" s="7" t="s">
        <v>94</v>
      </c>
      <c r="E130" s="110">
        <v>1</v>
      </c>
      <c r="F130" s="110">
        <f t="shared" ref="F130:O130" si="54">$P$5*(F128*100)^$Q$5/$R$5</f>
        <v>1.0032908495138475</v>
      </c>
      <c r="G130" s="110">
        <f t="shared" si="54"/>
        <v>1.0072405874931165</v>
      </c>
      <c r="H130" s="110">
        <f t="shared" si="54"/>
        <v>1.0118647461317642</v>
      </c>
      <c r="I130" s="110">
        <f t="shared" si="54"/>
        <v>1.0172539842928507</v>
      </c>
      <c r="J130" s="110">
        <f t="shared" si="54"/>
        <v>1.0233593096889433</v>
      </c>
      <c r="K130" s="110">
        <f t="shared" si="54"/>
        <v>1.0302058593442842</v>
      </c>
      <c r="L130" s="110">
        <f t="shared" si="54"/>
        <v>1.0378975977002818</v>
      </c>
      <c r="M130" s="110">
        <f t="shared" si="54"/>
        <v>1.0463944172229152</v>
      </c>
      <c r="N130" s="110">
        <f t="shared" si="54"/>
        <v>1.0557336389261469</v>
      </c>
      <c r="O130" s="110">
        <f t="shared" si="54"/>
        <v>1.0660367511389208</v>
      </c>
      <c r="P130" s="111">
        <v>1</v>
      </c>
      <c r="Q130" s="110">
        <f t="shared" ref="Q130:AC130" si="55">$P$5*(Q128*100)^$Q$5/$S$5</f>
        <v>1.0113500955737715</v>
      </c>
      <c r="R130" s="110">
        <f t="shared" si="55"/>
        <v>1.0237530621984705</v>
      </c>
      <c r="S130" s="110">
        <f t="shared" si="55"/>
        <v>1.037196998600511</v>
      </c>
      <c r="T130" s="110">
        <f t="shared" si="55"/>
        <v>1.0517531633699417</v>
      </c>
      <c r="U130" s="110">
        <f t="shared" si="55"/>
        <v>1.0675876948663043</v>
      </c>
      <c r="V130" s="110">
        <f t="shared" si="55"/>
        <v>1.084710599695708</v>
      </c>
      <c r="W130" s="110">
        <f t="shared" si="55"/>
        <v>1.1032247374818855</v>
      </c>
      <c r="X130" s="110">
        <f t="shared" si="55"/>
        <v>1.1233418196973615</v>
      </c>
      <c r="Y130" s="110">
        <f t="shared" si="55"/>
        <v>1.1451062231587013</v>
      </c>
      <c r="Z130" s="110">
        <f t="shared" si="55"/>
        <v>1.168669552410184</v>
      </c>
      <c r="AA130" s="110">
        <f t="shared" si="55"/>
        <v>1.1943128797085893</v>
      </c>
      <c r="AB130" s="110">
        <f t="shared" si="55"/>
        <v>1.2221372620524902</v>
      </c>
      <c r="AC130" s="110">
        <f t="shared" si="55"/>
        <v>1.2523732218909704</v>
      </c>
      <c r="AD130" s="7" t="s">
        <v>57</v>
      </c>
      <c r="AG130" s="141" t="s">
        <v>126</v>
      </c>
      <c r="AH130" s="141">
        <v>1</v>
      </c>
      <c r="AI130" t="s">
        <v>8</v>
      </c>
    </row>
    <row r="131" spans="1:37" x14ac:dyDescent="0.15">
      <c r="B131" s="346"/>
      <c r="C131" s="288"/>
      <c r="D131" s="96" t="s">
        <v>98</v>
      </c>
      <c r="E131" s="110">
        <v>1</v>
      </c>
      <c r="F131" s="110">
        <f t="shared" ref="F131:H131" si="56">$P$6*(F129*100)^$Q$6/$R$6</f>
        <v>1</v>
      </c>
      <c r="G131" s="110">
        <f t="shared" si="56"/>
        <v>1</v>
      </c>
      <c r="H131" s="110">
        <f t="shared" si="56"/>
        <v>1</v>
      </c>
      <c r="I131" s="110">
        <f>$P$6*(I129*100)^$Q$6/$R$6</f>
        <v>1</v>
      </c>
      <c r="J131" s="111">
        <v>1</v>
      </c>
      <c r="K131" s="110">
        <f t="shared" ref="K131:AC131" si="57">$P$6*(K129*100)^$Q$6/$S$6</f>
        <v>1</v>
      </c>
      <c r="L131" s="110">
        <f t="shared" si="57"/>
        <v>1.0056389570215611</v>
      </c>
      <c r="M131" s="110">
        <f t="shared" si="57"/>
        <v>1.011344493815804</v>
      </c>
      <c r="N131" s="110">
        <f>$P$6*(N129*100)^$Q$6/$S$6</f>
        <v>1.0171178122404161</v>
      </c>
      <c r="O131" s="110">
        <f t="shared" si="57"/>
        <v>1.0229601434462465</v>
      </c>
      <c r="P131" s="110">
        <f t="shared" si="57"/>
        <v>1.0288727487787706</v>
      </c>
      <c r="Q131" s="110">
        <f t="shared" si="57"/>
        <v>1.0348569207131477</v>
      </c>
      <c r="R131" s="110">
        <f t="shared" si="57"/>
        <v>1.0470452957937835</v>
      </c>
      <c r="S131" s="110">
        <f t="shared" si="57"/>
        <v>1.0532522484544065</v>
      </c>
      <c r="T131" s="110">
        <f t="shared" si="57"/>
        <v>1.0658988204890103</v>
      </c>
      <c r="U131" s="110">
        <f t="shared" si="57"/>
        <v>1.0788655599039809</v>
      </c>
      <c r="V131" s="110">
        <f t="shared" si="57"/>
        <v>1.0921649470403498</v>
      </c>
      <c r="W131" s="110">
        <f t="shared" si="57"/>
        <v>1.1058101238715166</v>
      </c>
      <c r="X131" s="110">
        <f t="shared" si="57"/>
        <v>1.1198149386181642</v>
      </c>
      <c r="Y131" s="110">
        <f t="shared" si="57"/>
        <v>1.1341939940327055</v>
      </c>
      <c r="Z131" s="110">
        <f t="shared" si="57"/>
        <v>1.1564982213840205</v>
      </c>
      <c r="AA131" s="110">
        <f t="shared" si="57"/>
        <v>1.1718822012356123</v>
      </c>
      <c r="AB131" s="110">
        <f t="shared" si="57"/>
        <v>1.1957741430029176</v>
      </c>
      <c r="AC131" s="110">
        <f t="shared" si="57"/>
        <v>1.2207026306837194</v>
      </c>
      <c r="AD131" s="7" t="s">
        <v>57</v>
      </c>
      <c r="AG131" s="141"/>
      <c r="AH131" s="141">
        <v>0.75</v>
      </c>
      <c r="AI131" t="s">
        <v>8</v>
      </c>
    </row>
    <row r="132" spans="1:37" ht="13.5" customHeight="1" x14ac:dyDescent="0.15">
      <c r="B132" s="355" t="s">
        <v>215</v>
      </c>
      <c r="C132" s="290" t="s">
        <v>176</v>
      </c>
      <c r="D132" s="132" t="s">
        <v>216</v>
      </c>
      <c r="E132" s="33"/>
      <c r="F132" s="33"/>
      <c r="G132" s="33"/>
      <c r="H132" s="33"/>
      <c r="I132" s="33"/>
      <c r="J132" s="33">
        <f>ROUND($E$5*J126*365/1000000,0)</f>
        <v>10</v>
      </c>
      <c r="K132" s="33">
        <f>ROUND($E$5*K126*365/1000000,0)</f>
        <v>10</v>
      </c>
      <c r="L132" s="33">
        <f>ROUND($E$5*L126*365/1000000,0)</f>
        <v>10</v>
      </c>
      <c r="M132" s="33">
        <f>ROUND($E$5*M126*365/1000000,0)</f>
        <v>9</v>
      </c>
      <c r="N132" s="33">
        <f t="shared" ref="N132:O132" si="58">ROUND($E$5*N126*365/1000000,0)</f>
        <v>9</v>
      </c>
      <c r="O132" s="33">
        <f t="shared" si="58"/>
        <v>9</v>
      </c>
      <c r="P132" s="138">
        <f>ROUND($F$5*P126*365/1000000,0)</f>
        <v>7</v>
      </c>
      <c r="Q132" s="33">
        <f>ROUND($F$5*Q126*365/1000000,0)</f>
        <v>7</v>
      </c>
      <c r="R132" s="33">
        <f t="shared" ref="R132:AC132" si="59">ROUND($F$5*R126*365/1000000,0)</f>
        <v>7</v>
      </c>
      <c r="S132" s="33">
        <f t="shared" si="59"/>
        <v>7</v>
      </c>
      <c r="T132" s="33">
        <f t="shared" si="59"/>
        <v>7</v>
      </c>
      <c r="U132" s="33">
        <f t="shared" si="59"/>
        <v>6</v>
      </c>
      <c r="V132" s="33">
        <f t="shared" si="59"/>
        <v>6</v>
      </c>
      <c r="W132" s="33">
        <f t="shared" si="59"/>
        <v>6</v>
      </c>
      <c r="X132" s="33">
        <f t="shared" si="59"/>
        <v>6</v>
      </c>
      <c r="Y132" s="33">
        <f t="shared" si="59"/>
        <v>6</v>
      </c>
      <c r="Z132" s="33">
        <f t="shared" si="59"/>
        <v>6</v>
      </c>
      <c r="AA132" s="33">
        <f t="shared" si="59"/>
        <v>6</v>
      </c>
      <c r="AB132" s="33">
        <f t="shared" si="59"/>
        <v>6</v>
      </c>
      <c r="AC132" s="33">
        <f t="shared" si="59"/>
        <v>6</v>
      </c>
      <c r="AD132" s="7"/>
      <c r="AG132" s="141"/>
      <c r="AH132" s="141"/>
    </row>
    <row r="133" spans="1:37" x14ac:dyDescent="0.15">
      <c r="B133" s="357"/>
      <c r="C133" s="303"/>
      <c r="D133" s="7" t="s">
        <v>217</v>
      </c>
      <c r="E133" s="33"/>
      <c r="F133" s="33"/>
      <c r="G133" s="33"/>
      <c r="H133" s="33"/>
      <c r="I133" s="33"/>
      <c r="J133" s="138">
        <v>10</v>
      </c>
      <c r="K133" s="33">
        <f>+J133</f>
        <v>10</v>
      </c>
      <c r="L133" s="33">
        <f t="shared" ref="L133:AC133" si="60">+K133</f>
        <v>10</v>
      </c>
      <c r="M133" s="33">
        <f t="shared" si="60"/>
        <v>10</v>
      </c>
      <c r="N133" s="33">
        <f t="shared" si="60"/>
        <v>10</v>
      </c>
      <c r="O133" s="33">
        <f t="shared" si="60"/>
        <v>10</v>
      </c>
      <c r="P133" s="33">
        <f t="shared" si="60"/>
        <v>10</v>
      </c>
      <c r="Q133" s="33">
        <f t="shared" si="60"/>
        <v>10</v>
      </c>
      <c r="R133" s="33">
        <f t="shared" si="60"/>
        <v>10</v>
      </c>
      <c r="S133" s="33">
        <f t="shared" si="60"/>
        <v>10</v>
      </c>
      <c r="T133" s="33">
        <f t="shared" si="60"/>
        <v>10</v>
      </c>
      <c r="U133" s="33">
        <f t="shared" si="60"/>
        <v>10</v>
      </c>
      <c r="V133" s="33">
        <f t="shared" si="60"/>
        <v>10</v>
      </c>
      <c r="W133" s="33">
        <f t="shared" si="60"/>
        <v>10</v>
      </c>
      <c r="X133" s="33">
        <f t="shared" si="60"/>
        <v>10</v>
      </c>
      <c r="Y133" s="33">
        <f t="shared" si="60"/>
        <v>10</v>
      </c>
      <c r="Z133" s="33">
        <f t="shared" si="60"/>
        <v>10</v>
      </c>
      <c r="AA133" s="33">
        <f t="shared" si="60"/>
        <v>10</v>
      </c>
      <c r="AB133" s="33">
        <f t="shared" si="60"/>
        <v>10</v>
      </c>
      <c r="AC133" s="33">
        <f t="shared" si="60"/>
        <v>10</v>
      </c>
      <c r="AD133" s="7"/>
      <c r="AG133" s="141"/>
      <c r="AH133" s="141"/>
      <c r="AK133" s="133"/>
    </row>
    <row r="134" spans="1:37" x14ac:dyDescent="0.15">
      <c r="A134" t="s">
        <v>324</v>
      </c>
      <c r="B134" s="355" t="s">
        <v>218</v>
      </c>
      <c r="C134" s="303"/>
      <c r="D134" s="7" t="s">
        <v>94</v>
      </c>
      <c r="E134" s="117">
        <f>E123*E130*$C$5*365/1000000</f>
        <v>111.1425</v>
      </c>
      <c r="F134" s="117">
        <f>F123*F130*$C$5*365/1000000</f>
        <v>111.13390410620862</v>
      </c>
      <c r="G134" s="117">
        <f>G123*G130*$C$5*365/1000000</f>
        <v>111.12362518041571</v>
      </c>
      <c r="H134" s="117">
        <f>H123*H130*$C$5*365/1000000</f>
        <v>111.11164341638622</v>
      </c>
      <c r="I134" s="117">
        <f>I123*I130*$C$5*365/1000000</f>
        <v>111.09774975779159</v>
      </c>
      <c r="J134" s="116">
        <f>J123*J130*$C$5*365/1000000+SUM(J132:J133)</f>
        <v>131.08210073073104</v>
      </c>
      <c r="K134" s="117">
        <f t="shared" ref="K134:O134" si="61">K123*K130*$C$5*365/1000000+SUM(K132:K133)</f>
        <v>131.06466508050693</v>
      </c>
      <c r="L134" s="117">
        <f t="shared" si="61"/>
        <v>131.04521795579592</v>
      </c>
      <c r="M134" s="117">
        <f t="shared" si="61"/>
        <v>130.02390607957031</v>
      </c>
      <c r="N134" s="117">
        <f t="shared" si="61"/>
        <v>130.00068466227444</v>
      </c>
      <c r="O134" s="117">
        <f t="shared" si="61"/>
        <v>129.97530927151917</v>
      </c>
      <c r="P134" s="116">
        <f>P123*P130*$D$5*365/1000000+SUM(P132:P133)</f>
        <v>82.913218400000005</v>
      </c>
      <c r="Q134" s="117">
        <f>Q123*Q130*$D$5*365/1000000+SUM(Q132:Q133)</f>
        <v>82.895708061141789</v>
      </c>
      <c r="R134" s="117">
        <f>R123*R130*$D$5*365/1000000+SUM(R132:R133)</f>
        <v>82.876801932363819</v>
      </c>
      <c r="S134" s="117">
        <f t="shared" ref="S134:AC134" si="62">S123*S130*$D$5*365/1000000+SUM(S132:S133)</f>
        <v>82.856572009586984</v>
      </c>
      <c r="T134" s="117">
        <f t="shared" si="62"/>
        <v>82.834968860583999</v>
      </c>
      <c r="U134" s="117">
        <f t="shared" si="62"/>
        <v>81.811813262410837</v>
      </c>
      <c r="V134" s="117">
        <f t="shared" si="62"/>
        <v>81.78716592946661</v>
      </c>
      <c r="W134" s="117">
        <f t="shared" si="62"/>
        <v>81.760960136394516</v>
      </c>
      <c r="X134" s="117">
        <f t="shared" si="62"/>
        <v>81.732990928458889</v>
      </c>
      <c r="Y134" s="117">
        <f t="shared" si="62"/>
        <v>81.703303004569065</v>
      </c>
      <c r="Z134" s="117">
        <f t="shared" si="62"/>
        <v>81.671805456455431</v>
      </c>
      <c r="AA134" s="117">
        <f t="shared" si="62"/>
        <v>81.638257798559522</v>
      </c>
      <c r="AB134" s="117">
        <f t="shared" si="62"/>
        <v>81.602680785948422</v>
      </c>
      <c r="AC134" s="117">
        <f t="shared" si="62"/>
        <v>81.564948249034657</v>
      </c>
      <c r="AD134" s="30">
        <f t="shared" ref="AD134:AD136" si="63">SUM(E134:AC134)</f>
        <v>2488.4525010561747</v>
      </c>
    </row>
    <row r="135" spans="1:37" ht="38.1" customHeight="1" x14ac:dyDescent="0.15">
      <c r="A135" s="269" t="s">
        <v>327</v>
      </c>
      <c r="B135" s="356"/>
      <c r="C135" s="303"/>
      <c r="D135" s="131" t="s">
        <v>209</v>
      </c>
      <c r="E135" s="117">
        <f>E124*E131*$C$6*365/1000000</f>
        <v>109.062</v>
      </c>
      <c r="F135" s="117">
        <f>F124*F131*$C$6*365/1000000</f>
        <v>109.062</v>
      </c>
      <c r="G135" s="117">
        <f>G124*G131*$C$6*365/1000000</f>
        <v>109.062</v>
      </c>
      <c r="H135" s="117">
        <f>H124*H131*$C$6*365/1000000</f>
        <v>109.062</v>
      </c>
      <c r="I135" s="117">
        <f>I124*I131*$C$6*365/1000000</f>
        <v>109.062</v>
      </c>
      <c r="J135" s="116">
        <f>J124*J131*$D$59*365/1000000</f>
        <v>15.043467852703564</v>
      </c>
      <c r="K135" s="139">
        <f t="shared" ref="K135:AC135" si="64">K124*K131*$D$59*365/1000000</f>
        <v>15.043467852703564</v>
      </c>
      <c r="L135" s="139">
        <f t="shared" si="64"/>
        <v>15.03661067094759</v>
      </c>
      <c r="M135" s="139">
        <f t="shared" si="64"/>
        <v>15.029714703384665</v>
      </c>
      <c r="N135" s="139">
        <f t="shared" si="64"/>
        <v>15.022779490653589</v>
      </c>
      <c r="O135" s="139">
        <f t="shared" si="64"/>
        <v>15.015804565075353</v>
      </c>
      <c r="P135" s="139">
        <f t="shared" si="64"/>
        <v>15.008789450449637</v>
      </c>
      <c r="Q135" s="139">
        <f t="shared" si="64"/>
        <v>15.001733661845273</v>
      </c>
      <c r="R135" s="139">
        <f t="shared" si="64"/>
        <v>14.987498078017754</v>
      </c>
      <c r="S135" s="139">
        <f t="shared" si="64"/>
        <v>14.980317267298251</v>
      </c>
      <c r="T135" s="139">
        <f t="shared" si="64"/>
        <v>14.965826997577002</v>
      </c>
      <c r="U135" s="139">
        <f t="shared" si="64"/>
        <v>14.951161599432087</v>
      </c>
      <c r="V135" s="139">
        <f t="shared" si="64"/>
        <v>14.936316609682905</v>
      </c>
      <c r="W135" s="139">
        <f t="shared" si="64"/>
        <v>14.921287389993852</v>
      </c>
      <c r="X135" s="139">
        <f t="shared" si="64"/>
        <v>14.906069117524948</v>
      </c>
      <c r="Y135" s="139">
        <f t="shared" si="64"/>
        <v>14.890656774947313</v>
      </c>
      <c r="Z135" s="139">
        <f t="shared" si="64"/>
        <v>14.867162896539455</v>
      </c>
      <c r="AA135" s="139">
        <f t="shared" si="64"/>
        <v>14.851242053215975</v>
      </c>
      <c r="AB135" s="139">
        <f>AB124*AB131*$D$59*365/1000000</f>
        <v>14.826958930865226</v>
      </c>
      <c r="AC135" s="139">
        <f t="shared" si="64"/>
        <v>14.802175176117336</v>
      </c>
      <c r="AD135" s="30">
        <f t="shared" si="63"/>
        <v>844.39904113897489</v>
      </c>
    </row>
    <row r="136" spans="1:37" ht="13.5" customHeight="1" x14ac:dyDescent="0.15">
      <c r="A136" t="s">
        <v>325</v>
      </c>
      <c r="B136" s="355" t="s">
        <v>177</v>
      </c>
      <c r="C136" s="303"/>
      <c r="D136" s="7" t="s">
        <v>94</v>
      </c>
      <c r="E136" s="38"/>
      <c r="F136" s="38"/>
      <c r="G136" s="38"/>
      <c r="H136" s="38"/>
      <c r="I136" s="38"/>
      <c r="J136" s="38"/>
      <c r="K136" s="38"/>
      <c r="L136" s="38"/>
      <c r="M136" s="38"/>
      <c r="N136" s="38"/>
      <c r="O136" s="219">
        <f>($V$5*P120^$W$5)/1000*(1+23.8/33.4)+$Z$5*P120^$AA$5/1000*(1+23.8/33.4)+X5*P121^Y5/1000*(1+23.8/33.4)</f>
        <v>1278.4462777268004</v>
      </c>
      <c r="P136" s="221"/>
      <c r="Q136" s="33"/>
      <c r="R136" s="38"/>
      <c r="S136" s="38"/>
      <c r="T136" s="38"/>
      <c r="U136" s="38"/>
      <c r="V136" s="38"/>
      <c r="W136" s="38"/>
      <c r="X136" s="38"/>
      <c r="Y136" s="38"/>
      <c r="Z136" s="38"/>
      <c r="AA136" s="38"/>
      <c r="AB136" s="38"/>
      <c r="AC136" s="38"/>
      <c r="AD136" s="30">
        <f t="shared" si="63"/>
        <v>1278.4462777268004</v>
      </c>
    </row>
    <row r="137" spans="1:37" ht="13.5" customHeight="1" x14ac:dyDescent="0.15">
      <c r="A137" s="269" t="s">
        <v>329</v>
      </c>
      <c r="B137" s="357"/>
      <c r="C137" s="303"/>
      <c r="D137" s="96" t="s">
        <v>98</v>
      </c>
      <c r="E137" s="38"/>
      <c r="F137" s="38"/>
      <c r="G137" s="38"/>
      <c r="H137" s="38"/>
      <c r="I137" s="140">
        <f>J8*J122^K8/1000*(1+26.2/40)</f>
        <v>439.30843224107065</v>
      </c>
      <c r="J137" s="220"/>
      <c r="K137" s="38"/>
      <c r="L137" s="38"/>
      <c r="M137" s="38"/>
      <c r="N137" s="38"/>
      <c r="O137" s="38"/>
      <c r="P137" s="32"/>
      <c r="Q137" s="38"/>
      <c r="R137" s="38"/>
      <c r="S137" s="38"/>
      <c r="T137" s="38"/>
      <c r="U137" s="38"/>
      <c r="V137" s="38"/>
      <c r="W137" s="38"/>
      <c r="X137" s="38"/>
      <c r="Y137" s="38"/>
      <c r="Z137" s="38"/>
      <c r="AA137" s="38"/>
      <c r="AB137" s="38"/>
      <c r="AC137" s="38"/>
      <c r="AD137" s="30"/>
    </row>
    <row r="138" spans="1:37" x14ac:dyDescent="0.15">
      <c r="B138" s="4" t="s">
        <v>203</v>
      </c>
      <c r="C138" s="303"/>
      <c r="D138" s="12" t="s">
        <v>57</v>
      </c>
      <c r="E138" s="30">
        <f>SUM(E134:E137)</f>
        <v>220.2045</v>
      </c>
      <c r="F138" s="30">
        <f t="shared" ref="F138:AC138" si="65">SUM(F134:F137)</f>
        <v>220.19590410620862</v>
      </c>
      <c r="G138" s="30">
        <f t="shared" si="65"/>
        <v>220.18562518041571</v>
      </c>
      <c r="H138" s="30">
        <f t="shared" si="65"/>
        <v>220.1736434163862</v>
      </c>
      <c r="I138" s="30">
        <f t="shared" si="65"/>
        <v>659.46818199886229</v>
      </c>
      <c r="J138" s="30">
        <f t="shared" si="65"/>
        <v>146.12556858343461</v>
      </c>
      <c r="K138" s="30">
        <f t="shared" si="65"/>
        <v>146.1081329332105</v>
      </c>
      <c r="L138" s="30">
        <f t="shared" si="65"/>
        <v>146.08182862674352</v>
      </c>
      <c r="M138" s="30">
        <f t="shared" si="65"/>
        <v>145.05362078295497</v>
      </c>
      <c r="N138" s="30">
        <f t="shared" si="65"/>
        <v>145.02346415292803</v>
      </c>
      <c r="O138" s="30">
        <f t="shared" si="65"/>
        <v>1423.4373915633948</v>
      </c>
      <c r="P138" s="30">
        <f t="shared" si="65"/>
        <v>97.922007850449646</v>
      </c>
      <c r="Q138" s="30">
        <f t="shared" si="65"/>
        <v>97.897441722987068</v>
      </c>
      <c r="R138" s="30">
        <f t="shared" si="65"/>
        <v>97.864300010381569</v>
      </c>
      <c r="S138" s="30">
        <f t="shared" si="65"/>
        <v>97.836889276885231</v>
      </c>
      <c r="T138" s="30">
        <f t="shared" si="65"/>
        <v>97.800795858160996</v>
      </c>
      <c r="U138" s="30">
        <f t="shared" si="65"/>
        <v>96.76297486184292</v>
      </c>
      <c r="V138" s="30">
        <f t="shared" si="65"/>
        <v>96.723482539149515</v>
      </c>
      <c r="W138" s="30">
        <f t="shared" si="65"/>
        <v>96.682247526388366</v>
      </c>
      <c r="X138" s="30">
        <f t="shared" si="65"/>
        <v>96.63906004598384</v>
      </c>
      <c r="Y138" s="30">
        <f t="shared" si="65"/>
        <v>96.593959779516382</v>
      </c>
      <c r="Z138" s="30">
        <f t="shared" si="65"/>
        <v>96.538968352994885</v>
      </c>
      <c r="AA138" s="30">
        <f t="shared" si="65"/>
        <v>96.489499851775491</v>
      </c>
      <c r="AB138" s="30">
        <f t="shared" si="65"/>
        <v>96.429639716813654</v>
      </c>
      <c r="AC138" s="30">
        <f t="shared" si="65"/>
        <v>96.367123425151988</v>
      </c>
      <c r="AD138" s="30">
        <f>SUM(E138:AC138)</f>
        <v>5050.6062521630211</v>
      </c>
    </row>
    <row r="139" spans="1:37" x14ac:dyDescent="0.15">
      <c r="A139" t="s">
        <v>326</v>
      </c>
      <c r="B139" s="4" t="s">
        <v>204</v>
      </c>
      <c r="C139" s="301"/>
      <c r="D139" s="12" t="s">
        <v>57</v>
      </c>
      <c r="E139" s="30">
        <f>E138</f>
        <v>220.2045</v>
      </c>
      <c r="F139" s="30">
        <f t="shared" ref="F139" si="66">E139+F138</f>
        <v>440.40040410620861</v>
      </c>
      <c r="G139" s="30">
        <f t="shared" ref="G139" si="67">F139+G138</f>
        <v>660.58602928662435</v>
      </c>
      <c r="H139" s="30">
        <f t="shared" ref="H139" si="68">G139+H138</f>
        <v>880.75967270301055</v>
      </c>
      <c r="I139" s="30">
        <f t="shared" ref="I139" si="69">H139+I138</f>
        <v>1540.2278547018727</v>
      </c>
      <c r="J139" s="30">
        <f t="shared" ref="J139" si="70">I139+J138</f>
        <v>1686.3534232853074</v>
      </c>
      <c r="K139" s="30">
        <f t="shared" ref="K139" si="71">J139+K138</f>
        <v>1832.4615562185179</v>
      </c>
      <c r="L139" s="30">
        <f t="shared" ref="L139" si="72">K139+L138</f>
        <v>1978.5433848452615</v>
      </c>
      <c r="M139" s="30">
        <f t="shared" ref="M139" si="73">L139+M138</f>
        <v>2123.5970056282163</v>
      </c>
      <c r="N139" s="30">
        <f t="shared" ref="N139" si="74">M139+N138</f>
        <v>2268.6204697811445</v>
      </c>
      <c r="O139" s="30">
        <f t="shared" ref="O139" si="75">N139+O138</f>
        <v>3692.0578613445396</v>
      </c>
      <c r="P139" s="30">
        <f t="shared" ref="P139" si="76">O139+P138</f>
        <v>3789.9798691949891</v>
      </c>
      <c r="Q139" s="30">
        <f t="shared" ref="Q139" si="77">P139+Q138</f>
        <v>3887.877310917976</v>
      </c>
      <c r="R139" s="30">
        <f t="shared" ref="R139" si="78">Q139+R138</f>
        <v>3985.7416109283577</v>
      </c>
      <c r="S139" s="30">
        <f t="shared" ref="S139" si="79">R139+S138</f>
        <v>4083.578500205243</v>
      </c>
      <c r="T139" s="30">
        <f t="shared" ref="T139" si="80">S139+T138</f>
        <v>4181.3792960634037</v>
      </c>
      <c r="U139" s="30">
        <f t="shared" ref="U139" si="81">T139+U138</f>
        <v>4278.1422709252465</v>
      </c>
      <c r="V139" s="30">
        <f t="shared" ref="V139" si="82">U139+V138</f>
        <v>4374.8657534643962</v>
      </c>
      <c r="W139" s="30">
        <f t="shared" ref="W139" si="83">V139+W138</f>
        <v>4471.5480009907842</v>
      </c>
      <c r="X139" s="30">
        <f t="shared" ref="X139" si="84">W139+X138</f>
        <v>4568.1870610367678</v>
      </c>
      <c r="Y139" s="30">
        <f t="shared" ref="Y139" si="85">X139+Y138</f>
        <v>4664.7810208162846</v>
      </c>
      <c r="Z139" s="30">
        <f t="shared" ref="Z139" si="86">Y139+Z138</f>
        <v>4761.3199891692793</v>
      </c>
      <c r="AA139" s="30">
        <f t="shared" ref="AA139" si="87">Z139+AA138</f>
        <v>4857.809489021055</v>
      </c>
      <c r="AB139" s="30">
        <f t="shared" ref="AB139" si="88">AA139+AB138</f>
        <v>4954.2391287378687</v>
      </c>
      <c r="AC139" s="30">
        <f t="shared" ref="AC139" si="89">AB139+AC138</f>
        <v>5050.6062521630211</v>
      </c>
      <c r="AD139" s="34">
        <f>AD138/COUNTA(E119:AC119)</f>
        <v>202.02425008652085</v>
      </c>
    </row>
    <row r="140" spans="1:37" x14ac:dyDescent="0.15">
      <c r="B140" t="s">
        <v>170</v>
      </c>
      <c r="C140" t="s">
        <v>182</v>
      </c>
      <c r="AD140" s="35" t="s">
        <v>181</v>
      </c>
    </row>
    <row r="141" spans="1:37" x14ac:dyDescent="0.15">
      <c r="B141" t="s">
        <v>210</v>
      </c>
      <c r="C141" t="s">
        <v>183</v>
      </c>
    </row>
    <row r="142" spans="1:37" x14ac:dyDescent="0.15">
      <c r="B142" t="s">
        <v>219</v>
      </c>
      <c r="C142" t="s">
        <v>220</v>
      </c>
    </row>
    <row r="143" spans="1:37" x14ac:dyDescent="0.15">
      <c r="B143" t="s">
        <v>173</v>
      </c>
      <c r="C143" t="s">
        <v>184</v>
      </c>
    </row>
    <row r="144" spans="1:37" x14ac:dyDescent="0.15">
      <c r="B144" s="22" t="s">
        <v>174</v>
      </c>
      <c r="C144" s="23" t="s">
        <v>185</v>
      </c>
    </row>
    <row r="145" spans="2:3" x14ac:dyDescent="0.15">
      <c r="B145" s="24" t="s">
        <v>221</v>
      </c>
      <c r="C145" s="23" t="s">
        <v>222</v>
      </c>
    </row>
    <row r="146" spans="2:3" x14ac:dyDescent="0.15">
      <c r="B146" s="24" t="s">
        <v>218</v>
      </c>
      <c r="C146" t="s">
        <v>223</v>
      </c>
    </row>
    <row r="147" spans="2:3" x14ac:dyDescent="0.15">
      <c r="B147" s="24"/>
      <c r="C147" t="s">
        <v>224</v>
      </c>
    </row>
    <row r="148" spans="2:3" x14ac:dyDescent="0.15">
      <c r="B148" s="22" t="s">
        <v>177</v>
      </c>
      <c r="C148" s="23" t="s">
        <v>225</v>
      </c>
    </row>
    <row r="149" spans="2:3" x14ac:dyDescent="0.15">
      <c r="B149" t="s">
        <v>178</v>
      </c>
      <c r="C149" s="208" t="s">
        <v>303</v>
      </c>
    </row>
    <row r="150" spans="2:3" x14ac:dyDescent="0.15">
      <c r="B150" t="s">
        <v>179</v>
      </c>
      <c r="C150" s="23" t="s">
        <v>188</v>
      </c>
    </row>
    <row r="151" spans="2:3" outlineLevel="1" x14ac:dyDescent="0.15"/>
    <row r="152" spans="2:3" outlineLevel="1" x14ac:dyDescent="0.15"/>
    <row r="153" spans="2:3" outlineLevel="1" x14ac:dyDescent="0.15"/>
    <row r="154" spans="2:3" outlineLevel="1" x14ac:dyDescent="0.15"/>
    <row r="155" spans="2:3" outlineLevel="1" x14ac:dyDescent="0.15"/>
    <row r="156" spans="2:3" outlineLevel="1" x14ac:dyDescent="0.15"/>
    <row r="157" spans="2:3" outlineLevel="1" x14ac:dyDescent="0.15"/>
    <row r="158" spans="2:3" outlineLevel="1" x14ac:dyDescent="0.15"/>
    <row r="159" spans="2:3" outlineLevel="1" x14ac:dyDescent="0.15"/>
    <row r="160" spans="2:3" outlineLevel="1" x14ac:dyDescent="0.15"/>
    <row r="161" outlineLevel="1" x14ac:dyDescent="0.15"/>
    <row r="162" outlineLevel="1" x14ac:dyDescent="0.15"/>
    <row r="163" outlineLevel="1" x14ac:dyDescent="0.15"/>
    <row r="164" outlineLevel="1" x14ac:dyDescent="0.15"/>
    <row r="165" outlineLevel="1" x14ac:dyDescent="0.15"/>
    <row r="166" outlineLevel="1" x14ac:dyDescent="0.15"/>
    <row r="167" ht="18.75" customHeight="1" outlineLevel="1" x14ac:dyDescent="0.15"/>
    <row r="168" outlineLevel="1" x14ac:dyDescent="0.15"/>
    <row r="169" outlineLevel="1" x14ac:dyDescent="0.15"/>
    <row r="170" outlineLevel="1" x14ac:dyDescent="0.15"/>
    <row r="171" outlineLevel="1" x14ac:dyDescent="0.15"/>
    <row r="172" outlineLevel="1" x14ac:dyDescent="0.15"/>
    <row r="173" outlineLevel="1" x14ac:dyDescent="0.15"/>
    <row r="174" outlineLevel="1" x14ac:dyDescent="0.15"/>
    <row r="175" outlineLevel="1" x14ac:dyDescent="0.15"/>
    <row r="176" outlineLevel="1" x14ac:dyDescent="0.15"/>
    <row r="177" spans="1:30" s="18" customFormat="1" ht="18.75" x14ac:dyDescent="0.15">
      <c r="F177" s="19" t="s">
        <v>226</v>
      </c>
    </row>
    <row r="178" spans="1:30" s="95" customFormat="1" x14ac:dyDescent="0.15">
      <c r="A178" s="282" t="s">
        <v>85</v>
      </c>
      <c r="B178" s="282" t="s">
        <v>86</v>
      </c>
      <c r="C178" s="282" t="s">
        <v>227</v>
      </c>
      <c r="D178" s="362"/>
      <c r="E178" s="369" t="s">
        <v>280</v>
      </c>
      <c r="F178" s="360" t="s">
        <v>228</v>
      </c>
      <c r="G178" s="360" t="s">
        <v>229</v>
      </c>
      <c r="H178" s="361" t="s">
        <v>230</v>
      </c>
      <c r="I178" s="361" t="s">
        <v>231</v>
      </c>
    </row>
    <row r="179" spans="1:30" s="95" customFormat="1" x14ac:dyDescent="0.15">
      <c r="A179" s="282"/>
      <c r="B179" s="282"/>
      <c r="C179" s="7" t="s">
        <v>162</v>
      </c>
      <c r="D179" s="142" t="s">
        <v>163</v>
      </c>
      <c r="E179" s="361"/>
      <c r="F179" s="361"/>
      <c r="G179" s="361"/>
      <c r="H179" s="361"/>
      <c r="I179" s="361"/>
    </row>
    <row r="180" spans="1:30" s="95" customFormat="1" x14ac:dyDescent="0.15">
      <c r="A180" s="14" t="s">
        <v>94</v>
      </c>
      <c r="B180" s="14" t="s">
        <v>95</v>
      </c>
      <c r="C180" s="143">
        <v>34.51</v>
      </c>
      <c r="D180" s="144">
        <v>-0.83399999999999996</v>
      </c>
      <c r="E180" s="145">
        <f>$C$180*(E16*100)^$D$180</f>
        <v>1.4397016426270861</v>
      </c>
      <c r="F180" s="30">
        <f>維持管理費等!G5</f>
        <v>1086726.6666666667</v>
      </c>
      <c r="G180" s="44">
        <f>F180/(E185*365)</f>
        <v>0.73333333333333339</v>
      </c>
      <c r="H180" s="5">
        <v>8.8000000000000004E-7</v>
      </c>
      <c r="I180" s="5">
        <v>1.6E-7</v>
      </c>
    </row>
    <row r="181" spans="1:30" x14ac:dyDescent="0.15">
      <c r="A181" s="96" t="s">
        <v>98</v>
      </c>
      <c r="B181" s="96" t="s">
        <v>166</v>
      </c>
      <c r="C181" s="143">
        <v>6.9660000000000002</v>
      </c>
      <c r="D181" s="144">
        <v>-0.434</v>
      </c>
      <c r="E181" s="145">
        <f>$C$181*(E17*100)^$D$181</f>
        <v>1.1276193601252587</v>
      </c>
      <c r="F181" s="30">
        <f>維持管理費等!G7</f>
        <v>606812.5</v>
      </c>
      <c r="G181" s="44">
        <f>F181/(E186*365)</f>
        <v>100.15060240963854</v>
      </c>
      <c r="H181" s="5">
        <v>5.0000000000000004E-6</v>
      </c>
      <c r="I181" s="5">
        <v>2.8999999999999998E-3</v>
      </c>
    </row>
    <row r="182" spans="1:30" x14ac:dyDescent="0.15">
      <c r="G182" s="209" t="s">
        <v>283</v>
      </c>
      <c r="H182" s="4">
        <f>+H181*0.12</f>
        <v>6.0000000000000008E-7</v>
      </c>
      <c r="I182" s="4">
        <f>+I181*0.12</f>
        <v>3.4799999999999995E-4</v>
      </c>
    </row>
    <row r="184" spans="1:30" ht="14.25" thickBot="1" x14ac:dyDescent="0.2">
      <c r="B184" s="278" t="s">
        <v>46</v>
      </c>
      <c r="C184" s="278"/>
      <c r="D184" s="146" t="s">
        <v>11</v>
      </c>
      <c r="E184" s="2">
        <v>1</v>
      </c>
      <c r="F184" s="2">
        <v>2</v>
      </c>
      <c r="G184" s="2">
        <v>3</v>
      </c>
      <c r="H184" s="2">
        <v>4</v>
      </c>
      <c r="I184" s="2">
        <v>5</v>
      </c>
      <c r="J184" s="2">
        <v>6</v>
      </c>
      <c r="K184" s="2">
        <v>7</v>
      </c>
      <c r="L184" s="2">
        <v>8</v>
      </c>
      <c r="M184" s="2">
        <v>9</v>
      </c>
      <c r="N184" s="2">
        <v>10</v>
      </c>
      <c r="O184" s="2">
        <v>11</v>
      </c>
      <c r="P184" s="2">
        <v>12</v>
      </c>
      <c r="Q184" s="2">
        <v>13</v>
      </c>
      <c r="R184" s="2">
        <v>14</v>
      </c>
      <c r="S184" s="2">
        <v>15</v>
      </c>
      <c r="T184" s="2">
        <v>16</v>
      </c>
      <c r="U184" s="2">
        <v>17</v>
      </c>
      <c r="V184" s="2">
        <v>18</v>
      </c>
      <c r="W184" s="2">
        <v>19</v>
      </c>
      <c r="X184" s="2">
        <v>20</v>
      </c>
      <c r="Y184" s="2">
        <v>21</v>
      </c>
      <c r="Z184" s="2">
        <v>22</v>
      </c>
      <c r="AA184" s="2">
        <v>23</v>
      </c>
      <c r="AB184" s="2">
        <v>24</v>
      </c>
      <c r="AC184" s="2">
        <v>25</v>
      </c>
      <c r="AD184" s="1" t="s">
        <v>141</v>
      </c>
    </row>
    <row r="185" spans="1:30" ht="14.25" customHeight="1" thickTop="1" x14ac:dyDescent="0.15">
      <c r="B185" s="352" t="s">
        <v>232</v>
      </c>
      <c r="C185" s="367" t="s">
        <v>233</v>
      </c>
      <c r="D185" s="147" t="s">
        <v>234</v>
      </c>
      <c r="E185" s="148">
        <f t="shared" ref="E185:AC185" si="90">E14</f>
        <v>4060</v>
      </c>
      <c r="F185" s="148">
        <f t="shared" si="90"/>
        <v>4046.37</v>
      </c>
      <c r="G185" s="148">
        <f t="shared" si="90"/>
        <v>4030.13</v>
      </c>
      <c r="H185" s="148">
        <f t="shared" si="90"/>
        <v>4011.28</v>
      </c>
      <c r="I185" s="148">
        <f t="shared" si="90"/>
        <v>3989.53</v>
      </c>
      <c r="J185" s="148">
        <f t="shared" si="90"/>
        <v>3965.17</v>
      </c>
      <c r="K185" s="148">
        <f t="shared" si="90"/>
        <v>3938.2</v>
      </c>
      <c r="L185" s="148">
        <f t="shared" si="90"/>
        <v>3908.33</v>
      </c>
      <c r="M185" s="148">
        <f t="shared" si="90"/>
        <v>3875.85</v>
      </c>
      <c r="N185" s="148">
        <f t="shared" si="90"/>
        <v>3840.76</v>
      </c>
      <c r="O185" s="148">
        <f t="shared" si="90"/>
        <v>3802.77</v>
      </c>
      <c r="P185" s="148">
        <f t="shared" si="90"/>
        <v>3762.17</v>
      </c>
      <c r="Q185" s="148">
        <f t="shared" si="90"/>
        <v>3718.96</v>
      </c>
      <c r="R185" s="148">
        <f t="shared" si="90"/>
        <v>3672.85</v>
      </c>
      <c r="S185" s="148">
        <f t="shared" si="90"/>
        <v>3624.13</v>
      </c>
      <c r="T185" s="148">
        <f t="shared" si="90"/>
        <v>3572.8</v>
      </c>
      <c r="U185" s="148">
        <f t="shared" si="90"/>
        <v>3518.57</v>
      </c>
      <c r="V185" s="148">
        <f t="shared" si="90"/>
        <v>3461.73</v>
      </c>
      <c r="W185" s="148">
        <f t="shared" si="90"/>
        <v>3402.28</v>
      </c>
      <c r="X185" s="148">
        <f t="shared" si="90"/>
        <v>3339.93</v>
      </c>
      <c r="Y185" s="148">
        <f t="shared" si="90"/>
        <v>3274.97</v>
      </c>
      <c r="Z185" s="148">
        <f t="shared" si="90"/>
        <v>3207.4</v>
      </c>
      <c r="AA185" s="148">
        <f t="shared" si="90"/>
        <v>3136.93</v>
      </c>
      <c r="AB185" s="148">
        <f t="shared" si="90"/>
        <v>3063.85</v>
      </c>
      <c r="AC185" s="148">
        <f t="shared" si="90"/>
        <v>2988.16</v>
      </c>
      <c r="AD185" s="148"/>
    </row>
    <row r="186" spans="1:30" x14ac:dyDescent="0.15">
      <c r="B186" s="282"/>
      <c r="C186" s="334"/>
      <c r="D186" s="96" t="s">
        <v>98</v>
      </c>
      <c r="E186" s="20">
        <f t="shared" ref="E186:AC186" si="91">E15</f>
        <v>16.600000000000001</v>
      </c>
      <c r="F186" s="20">
        <f t="shared" si="91"/>
        <v>16.600000000000001</v>
      </c>
      <c r="G186" s="20">
        <f t="shared" si="91"/>
        <v>16.600000000000001</v>
      </c>
      <c r="H186" s="20">
        <f t="shared" si="91"/>
        <v>16.600000000000001</v>
      </c>
      <c r="I186" s="20">
        <f t="shared" si="91"/>
        <v>16.600000000000001</v>
      </c>
      <c r="J186" s="20">
        <f t="shared" si="91"/>
        <v>16.5</v>
      </c>
      <c r="K186" s="20">
        <f t="shared" si="91"/>
        <v>16.5</v>
      </c>
      <c r="L186" s="20">
        <f t="shared" si="91"/>
        <v>16.399999999999999</v>
      </c>
      <c r="M186" s="20">
        <f t="shared" si="91"/>
        <v>16.3</v>
      </c>
      <c r="N186" s="20">
        <f t="shared" si="91"/>
        <v>16.2</v>
      </c>
      <c r="O186" s="20">
        <f t="shared" si="91"/>
        <v>16.100000000000001</v>
      </c>
      <c r="P186" s="20">
        <f t="shared" si="91"/>
        <v>16</v>
      </c>
      <c r="Q186" s="20">
        <f t="shared" si="91"/>
        <v>15.9</v>
      </c>
      <c r="R186" s="20">
        <f t="shared" si="91"/>
        <v>15.7</v>
      </c>
      <c r="S186" s="20">
        <f t="shared" si="91"/>
        <v>15.6</v>
      </c>
      <c r="T186" s="20">
        <f t="shared" si="91"/>
        <v>15.4</v>
      </c>
      <c r="U186" s="20">
        <f t="shared" si="91"/>
        <v>15.2</v>
      </c>
      <c r="V186" s="20">
        <f t="shared" si="91"/>
        <v>15</v>
      </c>
      <c r="W186" s="20">
        <f t="shared" si="91"/>
        <v>14.8</v>
      </c>
      <c r="X186" s="20">
        <f t="shared" si="91"/>
        <v>14.6</v>
      </c>
      <c r="Y186" s="20">
        <f t="shared" si="91"/>
        <v>14.4</v>
      </c>
      <c r="Z186" s="20">
        <f t="shared" si="91"/>
        <v>14.1</v>
      </c>
      <c r="AA186" s="20">
        <f t="shared" si="91"/>
        <v>13.9</v>
      </c>
      <c r="AB186" s="20">
        <f t="shared" si="91"/>
        <v>13.6</v>
      </c>
      <c r="AC186" s="20">
        <f t="shared" si="91"/>
        <v>13.3</v>
      </c>
      <c r="AD186" s="21"/>
    </row>
    <row r="187" spans="1:30" ht="13.5" customHeight="1" x14ac:dyDescent="0.15">
      <c r="B187" s="282"/>
      <c r="C187" s="335" t="s">
        <v>235</v>
      </c>
      <c r="D187" s="4" t="s">
        <v>234</v>
      </c>
      <c r="E187" s="20">
        <f>+E67</f>
        <v>4060</v>
      </c>
      <c r="F187" s="20">
        <f>+F67</f>
        <v>4046.37</v>
      </c>
      <c r="G187" s="20">
        <f>+G67</f>
        <v>4030.13</v>
      </c>
      <c r="H187" s="20">
        <f>+H67</f>
        <v>4011.28</v>
      </c>
      <c r="I187" s="20">
        <f>+I67</f>
        <v>3989.53</v>
      </c>
      <c r="J187" s="149">
        <f t="shared" ref="J187:AC187" si="92">J70</f>
        <v>4757.17</v>
      </c>
      <c r="K187" s="149">
        <f t="shared" si="92"/>
        <v>4730.2</v>
      </c>
      <c r="L187" s="149">
        <f t="shared" si="92"/>
        <v>4695.53</v>
      </c>
      <c r="M187" s="149">
        <f t="shared" si="92"/>
        <v>4658.25</v>
      </c>
      <c r="N187" s="149">
        <f t="shared" si="92"/>
        <v>4618.3600000000006</v>
      </c>
      <c r="O187" s="149">
        <f t="shared" si="92"/>
        <v>4575.57</v>
      </c>
      <c r="P187" s="149">
        <f t="shared" si="92"/>
        <v>4530.17</v>
      </c>
      <c r="Q187" s="149">
        <f t="shared" si="92"/>
        <v>4482.16</v>
      </c>
      <c r="R187" s="149">
        <f t="shared" si="92"/>
        <v>4426.45</v>
      </c>
      <c r="S187" s="149">
        <f t="shared" si="92"/>
        <v>4372.93</v>
      </c>
      <c r="T187" s="149">
        <f t="shared" si="92"/>
        <v>4312</v>
      </c>
      <c r="U187" s="149">
        <f t="shared" si="92"/>
        <v>4248.17</v>
      </c>
      <c r="V187" s="149">
        <f t="shared" si="92"/>
        <v>4181.7299999999996</v>
      </c>
      <c r="W187" s="149">
        <f t="shared" si="92"/>
        <v>4112.68</v>
      </c>
      <c r="X187" s="149">
        <f t="shared" si="92"/>
        <v>4040.7299999999996</v>
      </c>
      <c r="Y187" s="149">
        <f t="shared" si="92"/>
        <v>3966.17</v>
      </c>
      <c r="Z187" s="149">
        <f t="shared" si="92"/>
        <v>3884.2</v>
      </c>
      <c r="AA187" s="149">
        <f t="shared" si="92"/>
        <v>3804.13</v>
      </c>
      <c r="AB187" s="149">
        <f t="shared" si="92"/>
        <v>3716.6499999999996</v>
      </c>
      <c r="AC187" s="149">
        <f t="shared" si="92"/>
        <v>3626.56</v>
      </c>
      <c r="AD187" s="21"/>
    </row>
    <row r="188" spans="1:30" x14ac:dyDescent="0.15">
      <c r="B188" s="282"/>
      <c r="C188" s="336"/>
      <c r="D188" s="96" t="s">
        <v>98</v>
      </c>
      <c r="E188" s="150">
        <f t="shared" ref="E188:AC188" si="93">E68</f>
        <v>16.600000000000001</v>
      </c>
      <c r="F188" s="150">
        <f t="shared" si="93"/>
        <v>16.600000000000001</v>
      </c>
      <c r="G188" s="150">
        <f t="shared" si="93"/>
        <v>16.600000000000001</v>
      </c>
      <c r="H188" s="150">
        <f t="shared" si="93"/>
        <v>16.600000000000001</v>
      </c>
      <c r="I188" s="150">
        <f t="shared" si="93"/>
        <v>16.600000000000001</v>
      </c>
      <c r="J188" s="150">
        <f t="shared" si="93"/>
        <v>16.5</v>
      </c>
      <c r="K188" s="150">
        <f t="shared" si="93"/>
        <v>16.5</v>
      </c>
      <c r="L188" s="150">
        <f t="shared" si="93"/>
        <v>16.399999999999999</v>
      </c>
      <c r="M188" s="150">
        <f t="shared" si="93"/>
        <v>16.3</v>
      </c>
      <c r="N188" s="150">
        <f t="shared" si="93"/>
        <v>16.2</v>
      </c>
      <c r="O188" s="150">
        <f t="shared" si="93"/>
        <v>16.100000000000001</v>
      </c>
      <c r="P188" s="150">
        <f t="shared" si="93"/>
        <v>16</v>
      </c>
      <c r="Q188" s="150">
        <f t="shared" si="93"/>
        <v>15.9</v>
      </c>
      <c r="R188" s="150">
        <f t="shared" si="93"/>
        <v>15.7</v>
      </c>
      <c r="S188" s="150">
        <f t="shared" si="93"/>
        <v>15.6</v>
      </c>
      <c r="T188" s="150">
        <f t="shared" si="93"/>
        <v>15.4</v>
      </c>
      <c r="U188" s="150">
        <f t="shared" si="93"/>
        <v>15.2</v>
      </c>
      <c r="V188" s="150">
        <f t="shared" si="93"/>
        <v>15</v>
      </c>
      <c r="W188" s="150">
        <f t="shared" si="93"/>
        <v>14.8</v>
      </c>
      <c r="X188" s="150">
        <f t="shared" si="93"/>
        <v>14.6</v>
      </c>
      <c r="Y188" s="150">
        <f t="shared" si="93"/>
        <v>14.4</v>
      </c>
      <c r="Z188" s="150">
        <f t="shared" si="93"/>
        <v>14.1</v>
      </c>
      <c r="AA188" s="150">
        <f t="shared" si="93"/>
        <v>13.9</v>
      </c>
      <c r="AB188" s="150">
        <f t="shared" si="93"/>
        <v>13.6</v>
      </c>
      <c r="AC188" s="150">
        <f t="shared" si="93"/>
        <v>13.3</v>
      </c>
      <c r="AD188" s="21"/>
    </row>
    <row r="189" spans="1:30" ht="13.5" customHeight="1" x14ac:dyDescent="0.15">
      <c r="B189" s="282"/>
      <c r="C189" s="337" t="s">
        <v>236</v>
      </c>
      <c r="D189" s="4" t="s">
        <v>234</v>
      </c>
      <c r="E189" s="20">
        <f t="shared" ref="E189:AC189" si="94">E123</f>
        <v>4060</v>
      </c>
      <c r="F189" s="20">
        <f t="shared" si="94"/>
        <v>4046.37</v>
      </c>
      <c r="G189" s="20">
        <f t="shared" si="94"/>
        <v>4030.13</v>
      </c>
      <c r="H189" s="20">
        <f t="shared" si="94"/>
        <v>4011.28</v>
      </c>
      <c r="I189" s="20">
        <f t="shared" si="94"/>
        <v>3989.53</v>
      </c>
      <c r="J189" s="20">
        <f t="shared" si="94"/>
        <v>3965.17</v>
      </c>
      <c r="K189" s="20">
        <f t="shared" si="94"/>
        <v>3938.2</v>
      </c>
      <c r="L189" s="20">
        <f t="shared" si="94"/>
        <v>3908.33</v>
      </c>
      <c r="M189" s="20">
        <f t="shared" si="94"/>
        <v>3875.85</v>
      </c>
      <c r="N189" s="20">
        <f t="shared" si="94"/>
        <v>3840.76</v>
      </c>
      <c r="O189" s="20">
        <f t="shared" si="94"/>
        <v>3802.77</v>
      </c>
      <c r="P189" s="20">
        <f t="shared" si="94"/>
        <v>3762.17</v>
      </c>
      <c r="Q189" s="20">
        <f t="shared" si="94"/>
        <v>3718.96</v>
      </c>
      <c r="R189" s="20">
        <f t="shared" si="94"/>
        <v>3672.85</v>
      </c>
      <c r="S189" s="20">
        <f t="shared" si="94"/>
        <v>3624.13</v>
      </c>
      <c r="T189" s="20">
        <f t="shared" si="94"/>
        <v>3572.8</v>
      </c>
      <c r="U189" s="20">
        <f t="shared" si="94"/>
        <v>3518.57</v>
      </c>
      <c r="V189" s="20">
        <f t="shared" si="94"/>
        <v>3461.73</v>
      </c>
      <c r="W189" s="20">
        <f t="shared" si="94"/>
        <v>3402.28</v>
      </c>
      <c r="X189" s="20">
        <f t="shared" si="94"/>
        <v>3339.93</v>
      </c>
      <c r="Y189" s="20">
        <f t="shared" si="94"/>
        <v>3274.97</v>
      </c>
      <c r="Z189" s="20">
        <f t="shared" si="94"/>
        <v>3207.4</v>
      </c>
      <c r="AA189" s="20">
        <f t="shared" si="94"/>
        <v>3136.93</v>
      </c>
      <c r="AB189" s="20">
        <f t="shared" si="94"/>
        <v>3063.85</v>
      </c>
      <c r="AC189" s="20">
        <f t="shared" si="94"/>
        <v>2988.16</v>
      </c>
      <c r="AD189" s="21"/>
    </row>
    <row r="190" spans="1:30" x14ac:dyDescent="0.15">
      <c r="B190" s="282"/>
      <c r="C190" s="353"/>
      <c r="D190" s="96" t="s">
        <v>98</v>
      </c>
      <c r="E190" s="20">
        <f t="shared" ref="E190:AC190" si="95">E124</f>
        <v>16.600000000000001</v>
      </c>
      <c r="F190" s="20">
        <f t="shared" si="95"/>
        <v>16.600000000000001</v>
      </c>
      <c r="G190" s="20">
        <f t="shared" si="95"/>
        <v>16.600000000000001</v>
      </c>
      <c r="H190" s="20">
        <f t="shared" si="95"/>
        <v>16.600000000000001</v>
      </c>
      <c r="I190" s="20">
        <f t="shared" si="95"/>
        <v>16.600000000000001</v>
      </c>
      <c r="J190" s="20">
        <f t="shared" si="95"/>
        <v>16.5</v>
      </c>
      <c r="K190" s="20">
        <f t="shared" si="95"/>
        <v>16.5</v>
      </c>
      <c r="L190" s="20">
        <f t="shared" si="95"/>
        <v>16.399999999999999</v>
      </c>
      <c r="M190" s="20">
        <f t="shared" si="95"/>
        <v>16.3</v>
      </c>
      <c r="N190" s="20">
        <f t="shared" si="95"/>
        <v>16.2</v>
      </c>
      <c r="O190" s="20">
        <f t="shared" si="95"/>
        <v>16.100000000000001</v>
      </c>
      <c r="P190" s="20">
        <f t="shared" si="95"/>
        <v>16</v>
      </c>
      <c r="Q190" s="20">
        <f t="shared" si="95"/>
        <v>15.9</v>
      </c>
      <c r="R190" s="20">
        <f t="shared" si="95"/>
        <v>15.7</v>
      </c>
      <c r="S190" s="20">
        <f t="shared" si="95"/>
        <v>15.6</v>
      </c>
      <c r="T190" s="20">
        <f t="shared" si="95"/>
        <v>15.4</v>
      </c>
      <c r="U190" s="20">
        <f t="shared" si="95"/>
        <v>15.2</v>
      </c>
      <c r="V190" s="20">
        <f t="shared" si="95"/>
        <v>15</v>
      </c>
      <c r="W190" s="20">
        <f t="shared" si="95"/>
        <v>14.8</v>
      </c>
      <c r="X190" s="20">
        <f t="shared" si="95"/>
        <v>14.6</v>
      </c>
      <c r="Y190" s="20">
        <f t="shared" si="95"/>
        <v>14.4</v>
      </c>
      <c r="Z190" s="20">
        <f t="shared" si="95"/>
        <v>14.1</v>
      </c>
      <c r="AA190" s="20">
        <f t="shared" si="95"/>
        <v>13.9</v>
      </c>
      <c r="AB190" s="20">
        <f t="shared" si="95"/>
        <v>13.6</v>
      </c>
      <c r="AC190" s="20">
        <f t="shared" si="95"/>
        <v>13.3</v>
      </c>
      <c r="AD190" s="21"/>
    </row>
    <row r="191" spans="1:30" ht="14.25" customHeight="1" x14ac:dyDescent="0.15">
      <c r="B191" s="358" t="s">
        <v>282</v>
      </c>
      <c r="C191" s="359" t="s">
        <v>233</v>
      </c>
      <c r="D191" s="3"/>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row>
    <row r="192" spans="1:30" x14ac:dyDescent="0.15">
      <c r="B192" s="282"/>
      <c r="C192" s="333"/>
      <c r="D192" s="96" t="s">
        <v>98</v>
      </c>
      <c r="E192" s="207">
        <f>+E186*'下水、し尿等の水質'!$C$7/1000/1000</f>
        <v>4.4820000000000006E-2</v>
      </c>
      <c r="F192" s="207">
        <f>+F186*'下水、し尿等の水質'!$C$7/1000/1000</f>
        <v>4.4820000000000006E-2</v>
      </c>
      <c r="G192" s="207">
        <f>+G186*'下水、し尿等の水質'!$C$7/1000/1000</f>
        <v>4.4820000000000006E-2</v>
      </c>
      <c r="H192" s="207">
        <f>+H186*'下水、し尿等の水質'!$C$7/1000/1000</f>
        <v>4.4820000000000006E-2</v>
      </c>
      <c r="I192" s="207">
        <f>+I186*'下水、し尿等の水質'!$C$7/1000/1000</f>
        <v>4.4820000000000006E-2</v>
      </c>
      <c r="J192" s="207">
        <f>+J186*'下水、し尿等の水質'!$C$7/1000/1000</f>
        <v>4.4549999999999999E-2</v>
      </c>
      <c r="K192" s="207">
        <f>+K186*'下水、し尿等の水質'!$C$7/1000/1000</f>
        <v>4.4549999999999999E-2</v>
      </c>
      <c r="L192" s="207">
        <f>+L186*'下水、し尿等の水質'!$C$7/1000/1000</f>
        <v>4.4279999999999993E-2</v>
      </c>
      <c r="M192" s="207">
        <f>+M186*'下水、し尿等の水質'!$C$7/1000/1000</f>
        <v>4.4010000000000001E-2</v>
      </c>
      <c r="N192" s="207">
        <f>+N186*'下水、し尿等の水質'!$C$7/1000/1000</f>
        <v>4.3740000000000001E-2</v>
      </c>
      <c r="O192" s="207">
        <f>+O186*'下水、し尿等の水質'!$C$7/1000/1000</f>
        <v>4.3470000000000009E-2</v>
      </c>
      <c r="P192" s="207">
        <f>+P186*'下水、し尿等の水質'!$C$7/1000/1000</f>
        <v>4.3200000000000002E-2</v>
      </c>
      <c r="Q192" s="207">
        <f>+Q186*'下水、し尿等の水質'!$C$7/1000/1000</f>
        <v>4.2930000000000003E-2</v>
      </c>
      <c r="R192" s="207">
        <f>+R186*'下水、し尿等の水質'!$C$7/1000/1000</f>
        <v>4.2389999999999997E-2</v>
      </c>
      <c r="S192" s="207">
        <f>+S186*'下水、し尿等の水質'!$C$7/1000/1000</f>
        <v>4.2119999999999998E-2</v>
      </c>
      <c r="T192" s="207">
        <f>+T186*'下水、し尿等の水質'!$C$7/1000/1000</f>
        <v>4.1579999999999999E-2</v>
      </c>
      <c r="U192" s="207">
        <f>+U186*'下水、し尿等の水質'!$C$7/1000/1000</f>
        <v>4.104E-2</v>
      </c>
      <c r="V192" s="207">
        <f>+V186*'下水、し尿等の水質'!$C$7/1000/1000</f>
        <v>4.0500000000000001E-2</v>
      </c>
      <c r="W192" s="207">
        <f>+W186*'下水、し尿等の水質'!$C$7/1000/1000</f>
        <v>3.9960000000000002E-2</v>
      </c>
      <c r="X192" s="207">
        <f>+X186*'下水、し尿等の水質'!$C$7/1000/1000</f>
        <v>3.9420000000000004E-2</v>
      </c>
      <c r="Y192" s="207">
        <f>+Y186*'下水、し尿等の水質'!$C$7/1000/1000</f>
        <v>3.8880000000000005E-2</v>
      </c>
      <c r="Z192" s="207">
        <f>+Z186*'下水、し尿等の水質'!$C$7/1000/1000</f>
        <v>3.807E-2</v>
      </c>
      <c r="AA192" s="207">
        <f>+AA186*'下水、し尿等の水質'!$C$7/1000/1000</f>
        <v>3.7530000000000001E-2</v>
      </c>
      <c r="AB192" s="207">
        <f>+AB186*'下水、し尿等の水質'!$C$7/1000/1000</f>
        <v>3.6719999999999996E-2</v>
      </c>
      <c r="AC192" s="207">
        <f>+AC186*'下水、し尿等の水質'!$C$7/1000/1000</f>
        <v>3.5909999999999997E-2</v>
      </c>
      <c r="AD192" s="21"/>
    </row>
    <row r="193" spans="2:30" ht="13.5" customHeight="1" x14ac:dyDescent="0.15">
      <c r="B193" s="282"/>
      <c r="C193" s="342" t="s">
        <v>235</v>
      </c>
      <c r="D193" s="4"/>
      <c r="E193" s="20"/>
      <c r="F193" s="20"/>
      <c r="G193" s="20"/>
      <c r="H193" s="20"/>
      <c r="I193" s="20"/>
      <c r="J193" s="149"/>
      <c r="K193" s="149"/>
      <c r="L193" s="149"/>
      <c r="M193" s="149"/>
      <c r="N193" s="149"/>
      <c r="O193" s="149"/>
      <c r="P193" s="149"/>
      <c r="Q193" s="149"/>
      <c r="R193" s="149"/>
      <c r="S193" s="149"/>
      <c r="T193" s="149"/>
      <c r="U193" s="149"/>
      <c r="V193" s="149"/>
      <c r="W193" s="149"/>
      <c r="X193" s="149"/>
      <c r="Y193" s="149"/>
      <c r="Z193" s="149"/>
      <c r="AA193" s="149"/>
      <c r="AB193" s="149"/>
      <c r="AC193" s="149"/>
      <c r="AD193" s="21"/>
    </row>
    <row r="194" spans="2:30" x14ac:dyDescent="0.15">
      <c r="B194" s="282"/>
      <c r="C194" s="343"/>
      <c r="D194" s="96" t="s">
        <v>98</v>
      </c>
      <c r="E194" s="207">
        <f>+E188*'下水、し尿等の水質'!$C$7/1000/1000</f>
        <v>4.4820000000000006E-2</v>
      </c>
      <c r="F194" s="207">
        <f>+F188*'下水、し尿等の水質'!$C$7/1000/1000</f>
        <v>4.4820000000000006E-2</v>
      </c>
      <c r="G194" s="207">
        <f>+G188*'下水、し尿等の水質'!$C$7/1000/1000</f>
        <v>4.4820000000000006E-2</v>
      </c>
      <c r="H194" s="207">
        <f>+H188*'下水、し尿等の水質'!$C$7/1000/1000</f>
        <v>4.4820000000000006E-2</v>
      </c>
      <c r="I194" s="207">
        <f>+I188*'下水、し尿等の水質'!$C$7/1000/1000</f>
        <v>4.4820000000000006E-2</v>
      </c>
      <c r="J194" s="207">
        <f>+J188*'下水、し尿等の水質'!$C$7/1000/1000</f>
        <v>4.4549999999999999E-2</v>
      </c>
      <c r="K194" s="207">
        <f>+K188*'下水、し尿等の水質'!$C$7/1000/1000</f>
        <v>4.4549999999999999E-2</v>
      </c>
      <c r="L194" s="207">
        <f>+L188*'下水、し尿等の水質'!$C$7/1000/1000</f>
        <v>4.4279999999999993E-2</v>
      </c>
      <c r="M194" s="207">
        <f>+M188*'下水、し尿等の水質'!$C$7/1000/1000</f>
        <v>4.4010000000000001E-2</v>
      </c>
      <c r="N194" s="207">
        <f>+N188*'下水、し尿等の水質'!$C$7/1000/1000</f>
        <v>4.3740000000000001E-2</v>
      </c>
      <c r="O194" s="207">
        <f>+O188*'下水、し尿等の水質'!$C$7/1000/1000</f>
        <v>4.3470000000000009E-2</v>
      </c>
      <c r="P194" s="207">
        <f>+P188*'下水、し尿等の水質'!$C$7/1000/1000</f>
        <v>4.3200000000000002E-2</v>
      </c>
      <c r="Q194" s="207">
        <f>+Q188*'下水、し尿等の水質'!$C$7/1000/1000</f>
        <v>4.2930000000000003E-2</v>
      </c>
      <c r="R194" s="207">
        <f>+R188*'下水、し尿等の水質'!$C$7/1000/1000</f>
        <v>4.2389999999999997E-2</v>
      </c>
      <c r="S194" s="207">
        <f>+S188*'下水、し尿等の水質'!$C$7/1000/1000</f>
        <v>4.2119999999999998E-2</v>
      </c>
      <c r="T194" s="207">
        <f>+T188*'下水、し尿等の水質'!$C$7/1000/1000</f>
        <v>4.1579999999999999E-2</v>
      </c>
      <c r="U194" s="207">
        <f>+U188*'下水、し尿等の水質'!$C$7/1000/1000</f>
        <v>4.104E-2</v>
      </c>
      <c r="V194" s="207">
        <f>+V188*'下水、し尿等の水質'!$C$7/1000/1000</f>
        <v>4.0500000000000001E-2</v>
      </c>
      <c r="W194" s="207">
        <f>+W188*'下水、し尿等の水質'!$C$7/1000/1000</f>
        <v>3.9960000000000002E-2</v>
      </c>
      <c r="X194" s="207">
        <f>+X188*'下水、し尿等の水質'!$C$7/1000/1000</f>
        <v>3.9420000000000004E-2</v>
      </c>
      <c r="Y194" s="207">
        <f>+Y188*'下水、し尿等の水質'!$C$7/1000/1000</f>
        <v>3.8880000000000005E-2</v>
      </c>
      <c r="Z194" s="207">
        <f>+Z188*'下水、し尿等の水質'!$C$7/1000/1000</f>
        <v>3.807E-2</v>
      </c>
      <c r="AA194" s="207">
        <f>+AA188*'下水、し尿等の水質'!$C$7/1000/1000</f>
        <v>3.7530000000000001E-2</v>
      </c>
      <c r="AB194" s="207">
        <f>+AB188*'下水、し尿等の水質'!$C$7/1000/1000</f>
        <v>3.6719999999999996E-2</v>
      </c>
      <c r="AC194" s="207">
        <f>+AC188*'下水、し尿等の水質'!$C$7/1000/1000</f>
        <v>3.5909999999999997E-2</v>
      </c>
      <c r="AD194" s="21"/>
    </row>
    <row r="195" spans="2:30" ht="13.5" customHeight="1" x14ac:dyDescent="0.15">
      <c r="B195" s="282"/>
      <c r="C195" s="344" t="s">
        <v>236</v>
      </c>
      <c r="D195" s="4"/>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1"/>
    </row>
    <row r="196" spans="2:30" x14ac:dyDescent="0.15">
      <c r="B196" s="282"/>
      <c r="C196" s="345"/>
      <c r="D196" s="96" t="s">
        <v>98</v>
      </c>
      <c r="E196" s="207">
        <f>+E190*'下水、し尿等の水質'!$C$7/1000/1000</f>
        <v>4.4820000000000006E-2</v>
      </c>
      <c r="F196" s="207">
        <f>+F190*'下水、し尿等の水質'!$C$7/1000/1000</f>
        <v>4.4820000000000006E-2</v>
      </c>
      <c r="G196" s="207">
        <f>+G190*'下水、し尿等の水質'!$C$7/1000/1000</f>
        <v>4.4820000000000006E-2</v>
      </c>
      <c r="H196" s="207">
        <f>+H190*'下水、し尿等の水質'!$C$7/1000/1000</f>
        <v>4.4820000000000006E-2</v>
      </c>
      <c r="I196" s="207">
        <f>+I190*'下水、し尿等の水質'!$C$7/1000/1000</f>
        <v>4.4820000000000006E-2</v>
      </c>
      <c r="J196" s="207">
        <f>+J190*'下水、し尿等の水質'!$C$7/1000/1000</f>
        <v>4.4549999999999999E-2</v>
      </c>
      <c r="K196" s="207">
        <f>+K190*'下水、し尿等の水質'!$C$7/1000/1000</f>
        <v>4.4549999999999999E-2</v>
      </c>
      <c r="L196" s="207">
        <f>+L190*'下水、し尿等の水質'!$C$7/1000/1000</f>
        <v>4.4279999999999993E-2</v>
      </c>
      <c r="M196" s="207">
        <f>+M190*'下水、し尿等の水質'!$C$7/1000/1000</f>
        <v>4.4010000000000001E-2</v>
      </c>
      <c r="N196" s="207">
        <f>+N190*'下水、し尿等の水質'!$C$7/1000/1000</f>
        <v>4.3740000000000001E-2</v>
      </c>
      <c r="O196" s="207">
        <f>+O190*'下水、し尿等の水質'!$C$7/1000/1000</f>
        <v>4.3470000000000009E-2</v>
      </c>
      <c r="P196" s="207">
        <f>+P190*'下水、し尿等の水質'!$C$7/1000/1000</f>
        <v>4.3200000000000002E-2</v>
      </c>
      <c r="Q196" s="207">
        <f>+Q190*'下水、し尿等の水質'!$C$7/1000/1000</f>
        <v>4.2930000000000003E-2</v>
      </c>
      <c r="R196" s="207">
        <f>+R190*'下水、し尿等の水質'!$C$7/1000/1000</f>
        <v>4.2389999999999997E-2</v>
      </c>
      <c r="S196" s="207">
        <f>+S190*'下水、し尿等の水質'!$C$7/1000/1000</f>
        <v>4.2119999999999998E-2</v>
      </c>
      <c r="T196" s="207">
        <f>+T190*'下水、し尿等の水質'!$C$7/1000/1000</f>
        <v>4.1579999999999999E-2</v>
      </c>
      <c r="U196" s="207">
        <f>+U190*'下水、し尿等の水質'!$C$7/1000/1000</f>
        <v>4.104E-2</v>
      </c>
      <c r="V196" s="207">
        <f>+V190*'下水、し尿等の水質'!$C$7/1000/1000</f>
        <v>4.0500000000000001E-2</v>
      </c>
      <c r="W196" s="207">
        <f>+W190*'下水、し尿等の水質'!$C$7/1000/1000</f>
        <v>3.9960000000000002E-2</v>
      </c>
      <c r="X196" s="207">
        <f>+X190*'下水、し尿等の水質'!$C$7/1000/1000</f>
        <v>3.9420000000000004E-2</v>
      </c>
      <c r="Y196" s="207">
        <f>+Y190*'下水、し尿等の水質'!$C$7/1000/1000</f>
        <v>3.8880000000000005E-2</v>
      </c>
      <c r="Z196" s="207">
        <f>+Z190*'下水、し尿等の水質'!$C$7/1000/1000</f>
        <v>3.807E-2</v>
      </c>
      <c r="AA196" s="207">
        <f>+AA190*'下水、し尿等の水質'!$C$7/1000/1000</f>
        <v>3.7530000000000001E-2</v>
      </c>
      <c r="AB196" s="207">
        <f>+AB190*'下水、し尿等の水質'!$C$7/1000/1000</f>
        <v>3.6719999999999996E-2</v>
      </c>
      <c r="AC196" s="207">
        <f>+AC190*'下水、し尿等の水質'!$C$7/1000/1000</f>
        <v>3.5909999999999997E-2</v>
      </c>
      <c r="AD196" s="21"/>
    </row>
    <row r="197" spans="2:30" ht="14.25" customHeight="1" x14ac:dyDescent="0.15">
      <c r="B197" s="301" t="s">
        <v>89</v>
      </c>
      <c r="C197" s="333" t="s">
        <v>233</v>
      </c>
      <c r="D197" s="3" t="s">
        <v>234</v>
      </c>
      <c r="E197" s="152">
        <f t="shared" ref="E197:AC197" si="96">E16</f>
        <v>0.45111111111111113</v>
      </c>
      <c r="F197" s="152">
        <f t="shared" si="96"/>
        <v>0.44959666666666664</v>
      </c>
      <c r="G197" s="152">
        <f t="shared" si="96"/>
        <v>0.44779222222222226</v>
      </c>
      <c r="H197" s="153">
        <f t="shared" si="96"/>
        <v>0.4456977777777778</v>
      </c>
      <c r="I197" s="153">
        <f t="shared" si="96"/>
        <v>0.44328111111111113</v>
      </c>
      <c r="J197" s="153">
        <f t="shared" si="96"/>
        <v>0.44057444444444444</v>
      </c>
      <c r="K197" s="153">
        <f t="shared" si="96"/>
        <v>0.43757777777777773</v>
      </c>
      <c r="L197" s="153">
        <f t="shared" si="96"/>
        <v>0.43425888888888886</v>
      </c>
      <c r="M197" s="153">
        <f t="shared" si="96"/>
        <v>0.43064999999999998</v>
      </c>
      <c r="N197" s="153">
        <f t="shared" si="96"/>
        <v>0.42675111111111114</v>
      </c>
      <c r="O197" s="153">
        <f t="shared" si="96"/>
        <v>0.42253000000000002</v>
      </c>
      <c r="P197" s="153">
        <f t="shared" si="96"/>
        <v>0.68403090909090913</v>
      </c>
      <c r="Q197" s="152">
        <f t="shared" si="96"/>
        <v>0.67617454545454547</v>
      </c>
      <c r="R197" s="152">
        <f t="shared" si="96"/>
        <v>0.6677909090909091</v>
      </c>
      <c r="S197" s="152">
        <f t="shared" si="96"/>
        <v>0.65893272727272734</v>
      </c>
      <c r="T197" s="152">
        <f t="shared" si="96"/>
        <v>0.64960000000000007</v>
      </c>
      <c r="U197" s="152">
        <f t="shared" si="96"/>
        <v>0.63973999999999998</v>
      </c>
      <c r="V197" s="152">
        <f t="shared" si="96"/>
        <v>0.6294054545454546</v>
      </c>
      <c r="W197" s="152">
        <f t="shared" si="96"/>
        <v>0.61859636363636372</v>
      </c>
      <c r="X197" s="152">
        <f t="shared" si="96"/>
        <v>0.60726000000000002</v>
      </c>
      <c r="Y197" s="152">
        <f t="shared" si="96"/>
        <v>0.59544909090909093</v>
      </c>
      <c r="Z197" s="152">
        <f t="shared" si="96"/>
        <v>0.58316363636363633</v>
      </c>
      <c r="AA197" s="152">
        <f t="shared" si="96"/>
        <v>0.57035090909090902</v>
      </c>
      <c r="AB197" s="152">
        <f t="shared" si="96"/>
        <v>0.55706363636363632</v>
      </c>
      <c r="AC197" s="152">
        <f t="shared" si="96"/>
        <v>0.54330181818181811</v>
      </c>
      <c r="AD197" s="20"/>
    </row>
    <row r="198" spans="2:30" x14ac:dyDescent="0.15">
      <c r="B198" s="282"/>
      <c r="C198" s="334"/>
      <c r="D198" s="96" t="s">
        <v>98</v>
      </c>
      <c r="E198" s="152">
        <f t="shared" ref="E198:AC198" si="97">E17</f>
        <v>0.66400000000000003</v>
      </c>
      <c r="F198" s="152">
        <f t="shared" si="97"/>
        <v>0.66400000000000003</v>
      </c>
      <c r="G198" s="152">
        <f t="shared" si="97"/>
        <v>0.66400000000000003</v>
      </c>
      <c r="H198" s="153">
        <f t="shared" si="97"/>
        <v>0.66400000000000003</v>
      </c>
      <c r="I198" s="153">
        <f t="shared" si="97"/>
        <v>0.66400000000000003</v>
      </c>
      <c r="J198" s="153">
        <f t="shared" si="97"/>
        <v>0.82499999999999996</v>
      </c>
      <c r="K198" s="153">
        <f t="shared" si="97"/>
        <v>0.82499999999999996</v>
      </c>
      <c r="L198" s="153">
        <f t="shared" si="97"/>
        <v>0.82</v>
      </c>
      <c r="M198" s="153">
        <f t="shared" si="97"/>
        <v>0.81500000000000006</v>
      </c>
      <c r="N198" s="153">
        <f t="shared" si="97"/>
        <v>0.80999999999999994</v>
      </c>
      <c r="O198" s="153">
        <f t="shared" si="97"/>
        <v>0.80500000000000005</v>
      </c>
      <c r="P198" s="153">
        <f t="shared" si="97"/>
        <v>0.8</v>
      </c>
      <c r="Q198" s="152">
        <f t="shared" si="97"/>
        <v>0.79500000000000004</v>
      </c>
      <c r="R198" s="152">
        <f t="shared" si="97"/>
        <v>0.78499999999999992</v>
      </c>
      <c r="S198" s="152">
        <f t="shared" si="97"/>
        <v>0.78</v>
      </c>
      <c r="T198" s="152">
        <f t="shared" si="97"/>
        <v>0.77</v>
      </c>
      <c r="U198" s="152">
        <f t="shared" si="97"/>
        <v>0.76</v>
      </c>
      <c r="V198" s="152">
        <f t="shared" si="97"/>
        <v>0.75</v>
      </c>
      <c r="W198" s="152">
        <f t="shared" si="97"/>
        <v>0.74</v>
      </c>
      <c r="X198" s="152">
        <f t="shared" si="97"/>
        <v>0.73</v>
      </c>
      <c r="Y198" s="152">
        <f t="shared" si="97"/>
        <v>0.72</v>
      </c>
      <c r="Z198" s="152">
        <f t="shared" si="97"/>
        <v>0.70499999999999996</v>
      </c>
      <c r="AA198" s="152">
        <f t="shared" si="97"/>
        <v>0.69500000000000006</v>
      </c>
      <c r="AB198" s="152">
        <f t="shared" si="97"/>
        <v>0.67999999999999994</v>
      </c>
      <c r="AC198" s="152">
        <f t="shared" si="97"/>
        <v>0.66500000000000004</v>
      </c>
      <c r="AD198" s="21"/>
    </row>
    <row r="199" spans="2:30" ht="13.5" customHeight="1" x14ac:dyDescent="0.15">
      <c r="B199" s="282"/>
      <c r="C199" s="335" t="s">
        <v>235</v>
      </c>
      <c r="D199" s="4" t="s">
        <v>234</v>
      </c>
      <c r="E199" s="152">
        <f t="shared" ref="E199:AC199" si="98">E75</f>
        <v>0.45111111111111113</v>
      </c>
      <c r="F199" s="152">
        <f t="shared" si="98"/>
        <v>0.44959666666666664</v>
      </c>
      <c r="G199" s="152">
        <f t="shared" si="98"/>
        <v>0.44779222222222226</v>
      </c>
      <c r="H199" s="153">
        <f t="shared" si="98"/>
        <v>0.4456977777777778</v>
      </c>
      <c r="I199" s="153">
        <f t="shared" si="98"/>
        <v>0.44328111111111113</v>
      </c>
      <c r="J199" s="153">
        <f t="shared" si="98"/>
        <v>0.52857444444444446</v>
      </c>
      <c r="K199" s="153">
        <f t="shared" si="98"/>
        <v>0.52557777777777781</v>
      </c>
      <c r="L199" s="153">
        <f t="shared" si="98"/>
        <v>0.52172555555555555</v>
      </c>
      <c r="M199" s="153">
        <f t="shared" si="98"/>
        <v>0.51758333333333328</v>
      </c>
      <c r="N199" s="153">
        <f t="shared" si="98"/>
        <v>0.51315111111111122</v>
      </c>
      <c r="O199" s="153">
        <f t="shared" si="98"/>
        <v>0.50839666666666661</v>
      </c>
      <c r="P199" s="153">
        <f t="shared" si="98"/>
        <v>0.64716714285714283</v>
      </c>
      <c r="Q199" s="152">
        <f t="shared" si="98"/>
        <v>0.64030857142857145</v>
      </c>
      <c r="R199" s="152">
        <f t="shared" si="98"/>
        <v>0.63234999999999997</v>
      </c>
      <c r="S199" s="152">
        <f t="shared" si="98"/>
        <v>0.62470428571428571</v>
      </c>
      <c r="T199" s="152">
        <f t="shared" si="98"/>
        <v>0.61599999999999999</v>
      </c>
      <c r="U199" s="152">
        <f t="shared" si="98"/>
        <v>0.60688142857142857</v>
      </c>
      <c r="V199" s="152">
        <f t="shared" si="98"/>
        <v>0.59738999999999998</v>
      </c>
      <c r="W199" s="152">
        <f t="shared" si="98"/>
        <v>0.58752571428571432</v>
      </c>
      <c r="X199" s="152">
        <f t="shared" si="98"/>
        <v>0.57724714285714285</v>
      </c>
      <c r="Y199" s="152">
        <f t="shared" si="98"/>
        <v>0.56659571428571431</v>
      </c>
      <c r="Z199" s="152">
        <f t="shared" si="98"/>
        <v>0.5548857142857142</v>
      </c>
      <c r="AA199" s="152">
        <f t="shared" si="98"/>
        <v>0.54344714285714291</v>
      </c>
      <c r="AB199" s="152">
        <f t="shared" si="98"/>
        <v>0.53094999999999992</v>
      </c>
      <c r="AC199" s="152">
        <f t="shared" si="98"/>
        <v>0.51807999999999998</v>
      </c>
      <c r="AD199" s="21"/>
    </row>
    <row r="200" spans="2:30" x14ac:dyDescent="0.15">
      <c r="B200" s="282"/>
      <c r="C200" s="336"/>
      <c r="D200" s="96" t="s">
        <v>98</v>
      </c>
      <c r="E200" s="152">
        <f t="shared" ref="E200:AC200" si="99">E76</f>
        <v>0.66400000000000003</v>
      </c>
      <c r="F200" s="152">
        <f t="shared" si="99"/>
        <v>0.66400000000000003</v>
      </c>
      <c r="G200" s="152">
        <f t="shared" si="99"/>
        <v>0.66400000000000003</v>
      </c>
      <c r="H200" s="153">
        <f t="shared" si="99"/>
        <v>0.66400000000000003</v>
      </c>
      <c r="I200" s="153">
        <f t="shared" si="99"/>
        <v>0.66400000000000003</v>
      </c>
      <c r="J200" s="153">
        <f t="shared" si="99"/>
        <v>0.82499999999999996</v>
      </c>
      <c r="K200" s="153">
        <f t="shared" si="99"/>
        <v>0.82499999999999996</v>
      </c>
      <c r="L200" s="153">
        <f t="shared" si="99"/>
        <v>0.82</v>
      </c>
      <c r="M200" s="153">
        <f t="shared" si="99"/>
        <v>0.81500000000000006</v>
      </c>
      <c r="N200" s="153">
        <f t="shared" si="99"/>
        <v>0.80999999999999994</v>
      </c>
      <c r="O200" s="153">
        <f t="shared" si="99"/>
        <v>0.80500000000000005</v>
      </c>
      <c r="P200" s="153">
        <f t="shared" si="99"/>
        <v>0.8</v>
      </c>
      <c r="Q200" s="153">
        <f t="shared" si="99"/>
        <v>0.79500000000000004</v>
      </c>
      <c r="R200" s="153">
        <f t="shared" si="99"/>
        <v>0.78499999999999992</v>
      </c>
      <c r="S200" s="153">
        <f t="shared" si="99"/>
        <v>0.78</v>
      </c>
      <c r="T200" s="153">
        <f t="shared" si="99"/>
        <v>0.77</v>
      </c>
      <c r="U200" s="153">
        <f t="shared" si="99"/>
        <v>0.76</v>
      </c>
      <c r="V200" s="153">
        <f t="shared" si="99"/>
        <v>0.75</v>
      </c>
      <c r="W200" s="153">
        <f t="shared" si="99"/>
        <v>0.74</v>
      </c>
      <c r="X200" s="153">
        <f t="shared" si="99"/>
        <v>0.73</v>
      </c>
      <c r="Y200" s="153">
        <f t="shared" si="99"/>
        <v>0.72</v>
      </c>
      <c r="Z200" s="153">
        <f t="shared" si="99"/>
        <v>0.70499999999999996</v>
      </c>
      <c r="AA200" s="153">
        <f t="shared" si="99"/>
        <v>0.69500000000000006</v>
      </c>
      <c r="AB200" s="153">
        <f t="shared" si="99"/>
        <v>0.67999999999999994</v>
      </c>
      <c r="AC200" s="153">
        <f t="shared" si="99"/>
        <v>0.66500000000000004</v>
      </c>
      <c r="AD200" s="21"/>
    </row>
    <row r="201" spans="2:30" ht="13.5" customHeight="1" x14ac:dyDescent="0.15">
      <c r="B201" s="282"/>
      <c r="C201" s="337" t="s">
        <v>236</v>
      </c>
      <c r="D201" s="206" t="s">
        <v>281</v>
      </c>
      <c r="E201" s="152">
        <f t="shared" ref="E201:AC201" si="100">E128</f>
        <v>0.45111111111111113</v>
      </c>
      <c r="F201" s="152">
        <f t="shared" si="100"/>
        <v>0.44959666666666664</v>
      </c>
      <c r="G201" s="152">
        <f t="shared" si="100"/>
        <v>0.44779222222222226</v>
      </c>
      <c r="H201" s="153">
        <f t="shared" si="100"/>
        <v>0.4456977777777778</v>
      </c>
      <c r="I201" s="153">
        <f t="shared" si="100"/>
        <v>0.44328111111111113</v>
      </c>
      <c r="J201" s="153">
        <f t="shared" si="100"/>
        <v>0.44057444444444444</v>
      </c>
      <c r="K201" s="153">
        <f t="shared" si="100"/>
        <v>0.43757777777777773</v>
      </c>
      <c r="L201" s="153">
        <f t="shared" si="100"/>
        <v>0.43425888888888886</v>
      </c>
      <c r="M201" s="153">
        <f t="shared" si="100"/>
        <v>0.43064999999999998</v>
      </c>
      <c r="N201" s="153">
        <f t="shared" si="100"/>
        <v>0.42675111111111114</v>
      </c>
      <c r="O201" s="153">
        <f t="shared" si="100"/>
        <v>0.42253000000000002</v>
      </c>
      <c r="P201" s="153">
        <f t="shared" si="100"/>
        <v>0.68403090909090913</v>
      </c>
      <c r="Q201" s="152">
        <f t="shared" si="100"/>
        <v>0.67617454545454547</v>
      </c>
      <c r="R201" s="152">
        <f t="shared" si="100"/>
        <v>0.6677909090909091</v>
      </c>
      <c r="S201" s="152">
        <f t="shared" si="100"/>
        <v>0.65893272727272734</v>
      </c>
      <c r="T201" s="152">
        <f t="shared" si="100"/>
        <v>0.64960000000000007</v>
      </c>
      <c r="U201" s="152">
        <f t="shared" si="100"/>
        <v>0.63973999999999998</v>
      </c>
      <c r="V201" s="152">
        <f t="shared" si="100"/>
        <v>0.6294054545454546</v>
      </c>
      <c r="W201" s="152">
        <f t="shared" si="100"/>
        <v>0.61859636363636372</v>
      </c>
      <c r="X201" s="152">
        <f t="shared" si="100"/>
        <v>0.60726000000000002</v>
      </c>
      <c r="Y201" s="152">
        <f t="shared" si="100"/>
        <v>0.59544909090909093</v>
      </c>
      <c r="Z201" s="152">
        <f t="shared" si="100"/>
        <v>0.58316363636363633</v>
      </c>
      <c r="AA201" s="152">
        <f t="shared" si="100"/>
        <v>0.57035090909090902</v>
      </c>
      <c r="AB201" s="152">
        <f t="shared" si="100"/>
        <v>0.55706363636363632</v>
      </c>
      <c r="AC201" s="152">
        <f t="shared" si="100"/>
        <v>0.54330181818181811</v>
      </c>
      <c r="AD201" s="21"/>
    </row>
    <row r="202" spans="2:30" x14ac:dyDescent="0.15">
      <c r="B202" s="282"/>
      <c r="C202" s="353"/>
      <c r="D202" s="96" t="s">
        <v>98</v>
      </c>
      <c r="E202" s="152">
        <f t="shared" ref="E202:AC202" si="101">E129</f>
        <v>0.66400000000000003</v>
      </c>
      <c r="F202" s="152">
        <f t="shared" si="101"/>
        <v>0.66400000000000003</v>
      </c>
      <c r="G202" s="152">
        <f t="shared" si="101"/>
        <v>0.66400000000000003</v>
      </c>
      <c r="H202" s="153">
        <f t="shared" si="101"/>
        <v>0.66400000000000003</v>
      </c>
      <c r="I202" s="153">
        <f t="shared" si="101"/>
        <v>0.66400000000000003</v>
      </c>
      <c r="J202" s="153">
        <f t="shared" si="101"/>
        <v>0.82499999999999996</v>
      </c>
      <c r="K202" s="153">
        <f t="shared" si="101"/>
        <v>0.82499999999999996</v>
      </c>
      <c r="L202" s="153">
        <f t="shared" si="101"/>
        <v>0.82</v>
      </c>
      <c r="M202" s="153">
        <f t="shared" si="101"/>
        <v>0.81500000000000006</v>
      </c>
      <c r="N202" s="153">
        <f t="shared" si="101"/>
        <v>0.80999999999999994</v>
      </c>
      <c r="O202" s="153">
        <f t="shared" si="101"/>
        <v>0.80500000000000005</v>
      </c>
      <c r="P202" s="153">
        <f t="shared" si="101"/>
        <v>0.8</v>
      </c>
      <c r="Q202" s="152">
        <f t="shared" si="101"/>
        <v>0.79500000000000004</v>
      </c>
      <c r="R202" s="152">
        <f t="shared" si="101"/>
        <v>0.78499999999999992</v>
      </c>
      <c r="S202" s="152">
        <f t="shared" si="101"/>
        <v>0.78</v>
      </c>
      <c r="T202" s="152">
        <f t="shared" si="101"/>
        <v>0.77</v>
      </c>
      <c r="U202" s="152">
        <f t="shared" si="101"/>
        <v>0.76</v>
      </c>
      <c r="V202" s="152">
        <f t="shared" si="101"/>
        <v>0.75</v>
      </c>
      <c r="W202" s="152">
        <f t="shared" si="101"/>
        <v>0.74</v>
      </c>
      <c r="X202" s="152">
        <f t="shared" si="101"/>
        <v>0.73</v>
      </c>
      <c r="Y202" s="152">
        <f t="shared" si="101"/>
        <v>0.72</v>
      </c>
      <c r="Z202" s="152">
        <f t="shared" si="101"/>
        <v>0.70499999999999996</v>
      </c>
      <c r="AA202" s="152">
        <f t="shared" si="101"/>
        <v>0.69500000000000006</v>
      </c>
      <c r="AB202" s="152">
        <f t="shared" si="101"/>
        <v>0.67999999999999994</v>
      </c>
      <c r="AC202" s="152">
        <f t="shared" si="101"/>
        <v>0.66500000000000004</v>
      </c>
      <c r="AD202" s="21"/>
    </row>
    <row r="203" spans="2:30" ht="14.25" customHeight="1" x14ac:dyDescent="0.15">
      <c r="B203" s="301" t="s">
        <v>237</v>
      </c>
      <c r="C203" s="333" t="s">
        <v>233</v>
      </c>
      <c r="D203" s="3" t="s">
        <v>234</v>
      </c>
      <c r="E203" s="154">
        <f>$C$180*(E197*100)^$D$180/$E$180</f>
        <v>1</v>
      </c>
      <c r="F203" s="154">
        <f t="shared" ref="F203:AC203" si="102">$C$180*(F16*100)^$D$180/$E$180</f>
        <v>1.0028085039265928</v>
      </c>
      <c r="G203" s="154">
        <f t="shared" si="102"/>
        <v>1.0061775424475379</v>
      </c>
      <c r="H203" s="155">
        <f t="shared" si="102"/>
        <v>1.0101193909711554</v>
      </c>
      <c r="I203" s="155">
        <f t="shared" si="102"/>
        <v>1.0147101039325135</v>
      </c>
      <c r="J203" s="155">
        <f t="shared" si="102"/>
        <v>1.0199065033744492</v>
      </c>
      <c r="K203" s="155">
        <f t="shared" si="102"/>
        <v>1.0257283842924256</v>
      </c>
      <c r="L203" s="155">
        <f t="shared" si="102"/>
        <v>1.0322622116998603</v>
      </c>
      <c r="M203" s="155">
        <f t="shared" si="102"/>
        <v>1.0394716917073248</v>
      </c>
      <c r="N203" s="155">
        <f t="shared" si="102"/>
        <v>1.0473860667594221</v>
      </c>
      <c r="O203" s="155">
        <f t="shared" si="102"/>
        <v>1.0561053987280655</v>
      </c>
      <c r="P203" s="155">
        <f t="shared" si="102"/>
        <v>0.70667430952327004</v>
      </c>
      <c r="Q203" s="154">
        <f t="shared" si="102"/>
        <v>0.71351548884506877</v>
      </c>
      <c r="R203" s="154">
        <f t="shared" si="102"/>
        <v>0.72097844359345853</v>
      </c>
      <c r="S203" s="154">
        <f t="shared" si="102"/>
        <v>0.72905282960701245</v>
      </c>
      <c r="T203" s="154">
        <f t="shared" si="102"/>
        <v>0.73777796747194935</v>
      </c>
      <c r="U203" s="154">
        <f t="shared" si="102"/>
        <v>0.7472493313949955</v>
      </c>
      <c r="V203" s="154">
        <f t="shared" si="102"/>
        <v>0.75746822653504486</v>
      </c>
      <c r="W203" s="154">
        <f t="shared" si="102"/>
        <v>0.76849088126439646</v>
      </c>
      <c r="X203" s="154">
        <f t="shared" si="102"/>
        <v>0.78043723209580973</v>
      </c>
      <c r="Y203" s="154">
        <f t="shared" si="102"/>
        <v>0.79332662915382468</v>
      </c>
      <c r="Z203" s="154">
        <f t="shared" si="102"/>
        <v>0.80724104516791317</v>
      </c>
      <c r="AA203" s="154">
        <f t="shared" si="102"/>
        <v>0.82233716042227889</v>
      </c>
      <c r="AB203" s="154">
        <f t="shared" si="102"/>
        <v>0.83866370380241695</v>
      </c>
      <c r="AC203" s="154">
        <f t="shared" si="102"/>
        <v>0.85634375122264916</v>
      </c>
      <c r="AD203" s="20"/>
    </row>
    <row r="204" spans="2:30" x14ac:dyDescent="0.15">
      <c r="B204" s="282"/>
      <c r="C204" s="334"/>
      <c r="D204" s="96" t="s">
        <v>98</v>
      </c>
      <c r="E204" s="154">
        <f t="shared" ref="E204:AC204" si="103">$C$181*(E17*100)^$D$181/$E$181</f>
        <v>1</v>
      </c>
      <c r="F204" s="154">
        <f t="shared" si="103"/>
        <v>1</v>
      </c>
      <c r="G204" s="154">
        <f t="shared" si="103"/>
        <v>1</v>
      </c>
      <c r="H204" s="154">
        <f t="shared" si="103"/>
        <v>1</v>
      </c>
      <c r="I204" s="154">
        <f t="shared" si="103"/>
        <v>1</v>
      </c>
      <c r="J204" s="154">
        <f t="shared" si="103"/>
        <v>0.91008075941738409</v>
      </c>
      <c r="K204" s="154">
        <f t="shared" si="103"/>
        <v>0.91008075941738409</v>
      </c>
      <c r="L204" s="154">
        <f t="shared" si="103"/>
        <v>0.91248500111089259</v>
      </c>
      <c r="M204" s="154">
        <f t="shared" si="103"/>
        <v>0.91491035766246753</v>
      </c>
      <c r="N204" s="154">
        <f t="shared" si="103"/>
        <v>0.91735714576503458</v>
      </c>
      <c r="O204" s="154">
        <f t="shared" si="103"/>
        <v>0.91982568885452709</v>
      </c>
      <c r="P204" s="154">
        <f t="shared" si="103"/>
        <v>0.92231631729642072</v>
      </c>
      <c r="Q204" s="154">
        <f t="shared" si="103"/>
        <v>0.92482936857863418</v>
      </c>
      <c r="R204" s="154">
        <f t="shared" si="103"/>
        <v>0.92992412643196076</v>
      </c>
      <c r="S204" s="154">
        <f t="shared" si="103"/>
        <v>0.93250654542160061</v>
      </c>
      <c r="T204" s="154">
        <f t="shared" si="103"/>
        <v>0.93774330397220451</v>
      </c>
      <c r="U204" s="154">
        <f t="shared" si="103"/>
        <v>0.94307850724242182</v>
      </c>
      <c r="V204" s="154">
        <f t="shared" si="103"/>
        <v>0.94851533817112954</v>
      </c>
      <c r="W204" s="154">
        <f t="shared" si="103"/>
        <v>0.95405712684550292</v>
      </c>
      <c r="X204" s="154">
        <f t="shared" si="103"/>
        <v>0.9597073594046629</v>
      </c>
      <c r="Y204" s="154">
        <f t="shared" si="103"/>
        <v>0.96546968761270158</v>
      </c>
      <c r="Z204" s="154">
        <f t="shared" si="103"/>
        <v>0.97433178316170632</v>
      </c>
      <c r="AA204" s="154">
        <f t="shared" si="103"/>
        <v>0.98039150901377525</v>
      </c>
      <c r="AB204" s="154">
        <f t="shared" si="103"/>
        <v>0.98971938895370881</v>
      </c>
      <c r="AC204" s="154">
        <f t="shared" si="103"/>
        <v>0.99934709046638315</v>
      </c>
      <c r="AD204" s="21"/>
    </row>
    <row r="205" spans="2:30" ht="13.5" customHeight="1" x14ac:dyDescent="0.15">
      <c r="B205" s="282"/>
      <c r="C205" s="335" t="s">
        <v>235</v>
      </c>
      <c r="D205" s="4" t="s">
        <v>234</v>
      </c>
      <c r="E205" s="154">
        <f t="shared" ref="E205:AC205" si="104">$C$180*(E75*100)^$D$180/$E$180</f>
        <v>1</v>
      </c>
      <c r="F205" s="154">
        <f t="shared" si="104"/>
        <v>1.0028085039265928</v>
      </c>
      <c r="G205" s="154">
        <f t="shared" si="104"/>
        <v>1.0061775424475379</v>
      </c>
      <c r="H205" s="154">
        <f t="shared" si="104"/>
        <v>1.0101193909711554</v>
      </c>
      <c r="I205" s="154">
        <f t="shared" si="104"/>
        <v>1.0147101039325135</v>
      </c>
      <c r="J205" s="154">
        <f t="shared" si="104"/>
        <v>0.8761973190744653</v>
      </c>
      <c r="K205" s="154">
        <f t="shared" si="104"/>
        <v>0.88036183276718016</v>
      </c>
      <c r="L205" s="154">
        <f t="shared" si="104"/>
        <v>0.88577973301878887</v>
      </c>
      <c r="M205" s="154">
        <f t="shared" si="104"/>
        <v>0.89168796064794098</v>
      </c>
      <c r="N205" s="154">
        <f t="shared" si="104"/>
        <v>0.89810662688648302</v>
      </c>
      <c r="O205" s="154">
        <f t="shared" si="104"/>
        <v>0.90510593356521574</v>
      </c>
      <c r="P205" s="154">
        <f t="shared" si="104"/>
        <v>0.74009033333686181</v>
      </c>
      <c r="Q205" s="154">
        <f t="shared" si="104"/>
        <v>0.74669590569868538</v>
      </c>
      <c r="R205" s="154">
        <f t="shared" si="104"/>
        <v>0.7545254361152699</v>
      </c>
      <c r="S205" s="154">
        <f t="shared" si="104"/>
        <v>0.76221929484358608</v>
      </c>
      <c r="T205" s="154">
        <f t="shared" si="104"/>
        <v>0.77119134199081385</v>
      </c>
      <c r="U205" s="154">
        <f t="shared" si="104"/>
        <v>0.78084323163068681</v>
      </c>
      <c r="V205" s="154">
        <f t="shared" si="104"/>
        <v>0.79117641074758127</v>
      </c>
      <c r="W205" s="154">
        <f t="shared" si="104"/>
        <v>0.80223950056947479</v>
      </c>
      <c r="X205" s="154">
        <f t="shared" si="104"/>
        <v>0.81413556041858881</v>
      </c>
      <c r="Y205" s="154">
        <f t="shared" si="104"/>
        <v>0.82688009829528875</v>
      </c>
      <c r="Z205" s="154">
        <f t="shared" si="104"/>
        <v>0.84140812902674211</v>
      </c>
      <c r="AA205" s="154">
        <f t="shared" si="104"/>
        <v>0.85615276331302836</v>
      </c>
      <c r="AB205" s="154">
        <f t="shared" si="104"/>
        <v>0.87292661640342395</v>
      </c>
      <c r="AC205" s="154">
        <f t="shared" si="104"/>
        <v>0.89097497348884624</v>
      </c>
      <c r="AD205" s="21"/>
    </row>
    <row r="206" spans="2:30" x14ac:dyDescent="0.15">
      <c r="B206" s="282"/>
      <c r="C206" s="336"/>
      <c r="D206" s="96" t="s">
        <v>98</v>
      </c>
      <c r="E206" s="154">
        <f t="shared" ref="E206:AC206" si="105">$C$181*(E76*100)^$D$181/$E$181</f>
        <v>1</v>
      </c>
      <c r="F206" s="154">
        <f t="shared" si="105"/>
        <v>1</v>
      </c>
      <c r="G206" s="154">
        <f t="shared" si="105"/>
        <v>1</v>
      </c>
      <c r="H206" s="154">
        <f t="shared" si="105"/>
        <v>1</v>
      </c>
      <c r="I206" s="154">
        <f t="shared" si="105"/>
        <v>1</v>
      </c>
      <c r="J206" s="154">
        <f t="shared" si="105"/>
        <v>0.91008075941738409</v>
      </c>
      <c r="K206" s="154">
        <f t="shared" si="105"/>
        <v>0.91008075941738409</v>
      </c>
      <c r="L206" s="154">
        <f t="shared" si="105"/>
        <v>0.91248500111089259</v>
      </c>
      <c r="M206" s="154">
        <f t="shared" si="105"/>
        <v>0.91491035766246753</v>
      </c>
      <c r="N206" s="154">
        <f t="shared" si="105"/>
        <v>0.91735714576503458</v>
      </c>
      <c r="O206" s="154">
        <f t="shared" si="105"/>
        <v>0.91982568885452709</v>
      </c>
      <c r="P206" s="154">
        <f t="shared" si="105"/>
        <v>0.92231631729642072</v>
      </c>
      <c r="Q206" s="154">
        <f t="shared" si="105"/>
        <v>0.92482936857863418</v>
      </c>
      <c r="R206" s="154">
        <f t="shared" si="105"/>
        <v>0.92992412643196076</v>
      </c>
      <c r="S206" s="154">
        <f t="shared" si="105"/>
        <v>0.93250654542160061</v>
      </c>
      <c r="T206" s="154">
        <f t="shared" si="105"/>
        <v>0.93774330397220451</v>
      </c>
      <c r="U206" s="154">
        <f t="shared" si="105"/>
        <v>0.94307850724242182</v>
      </c>
      <c r="V206" s="154">
        <f t="shared" si="105"/>
        <v>0.94851533817112954</v>
      </c>
      <c r="W206" s="154">
        <f t="shared" si="105"/>
        <v>0.95405712684550292</v>
      </c>
      <c r="X206" s="154">
        <f t="shared" si="105"/>
        <v>0.9597073594046629</v>
      </c>
      <c r="Y206" s="154">
        <f t="shared" si="105"/>
        <v>0.96546968761270158</v>
      </c>
      <c r="Z206" s="154">
        <f t="shared" si="105"/>
        <v>0.97433178316170632</v>
      </c>
      <c r="AA206" s="154">
        <f t="shared" si="105"/>
        <v>0.98039150901377525</v>
      </c>
      <c r="AB206" s="154">
        <f t="shared" si="105"/>
        <v>0.98971938895370881</v>
      </c>
      <c r="AC206" s="154">
        <f t="shared" si="105"/>
        <v>0.99934709046638315</v>
      </c>
      <c r="AD206" s="21"/>
    </row>
    <row r="207" spans="2:30" ht="13.5" customHeight="1" x14ac:dyDescent="0.15">
      <c r="B207" s="282"/>
      <c r="C207" s="337" t="s">
        <v>236</v>
      </c>
      <c r="D207" s="4" t="s">
        <v>234</v>
      </c>
      <c r="E207" s="154">
        <f t="shared" ref="E207:AC207" si="106">$C$180*(E128*100)^$D$180/$E$180</f>
        <v>1</v>
      </c>
      <c r="F207" s="154">
        <f t="shared" si="106"/>
        <v>1.0028085039265928</v>
      </c>
      <c r="G207" s="154">
        <f t="shared" si="106"/>
        <v>1.0061775424475379</v>
      </c>
      <c r="H207" s="154">
        <f t="shared" si="106"/>
        <v>1.0101193909711554</v>
      </c>
      <c r="I207" s="154">
        <f t="shared" si="106"/>
        <v>1.0147101039325135</v>
      </c>
      <c r="J207" s="154">
        <f t="shared" si="106"/>
        <v>1.0199065033744492</v>
      </c>
      <c r="K207" s="154">
        <f t="shared" si="106"/>
        <v>1.0257283842924256</v>
      </c>
      <c r="L207" s="154">
        <f t="shared" si="106"/>
        <v>1.0322622116998603</v>
      </c>
      <c r="M207" s="154">
        <f t="shared" si="106"/>
        <v>1.0394716917073248</v>
      </c>
      <c r="N207" s="154">
        <f t="shared" si="106"/>
        <v>1.0473860667594221</v>
      </c>
      <c r="O207" s="154">
        <f t="shared" si="106"/>
        <v>1.0561053987280655</v>
      </c>
      <c r="P207" s="154">
        <f t="shared" si="106"/>
        <v>0.70667430952327004</v>
      </c>
      <c r="Q207" s="154">
        <f t="shared" si="106"/>
        <v>0.71351548884506877</v>
      </c>
      <c r="R207" s="154">
        <f t="shared" si="106"/>
        <v>0.72097844359345853</v>
      </c>
      <c r="S207" s="154">
        <f t="shared" si="106"/>
        <v>0.72905282960701245</v>
      </c>
      <c r="T207" s="154">
        <f t="shared" si="106"/>
        <v>0.73777796747194935</v>
      </c>
      <c r="U207" s="154">
        <f t="shared" si="106"/>
        <v>0.7472493313949955</v>
      </c>
      <c r="V207" s="154">
        <f t="shared" si="106"/>
        <v>0.75746822653504486</v>
      </c>
      <c r="W207" s="154">
        <f t="shared" si="106"/>
        <v>0.76849088126439646</v>
      </c>
      <c r="X207" s="154">
        <f t="shared" si="106"/>
        <v>0.78043723209580973</v>
      </c>
      <c r="Y207" s="154">
        <f t="shared" si="106"/>
        <v>0.79332662915382468</v>
      </c>
      <c r="Z207" s="154">
        <f t="shared" si="106"/>
        <v>0.80724104516791317</v>
      </c>
      <c r="AA207" s="154">
        <f t="shared" si="106"/>
        <v>0.82233716042227889</v>
      </c>
      <c r="AB207" s="154">
        <f t="shared" si="106"/>
        <v>0.83866370380241695</v>
      </c>
      <c r="AC207" s="154">
        <f t="shared" si="106"/>
        <v>0.85634375122264916</v>
      </c>
      <c r="AD207" s="21"/>
    </row>
    <row r="208" spans="2:30" x14ac:dyDescent="0.15">
      <c r="B208" s="283"/>
      <c r="C208" s="338"/>
      <c r="D208" s="96" t="s">
        <v>98</v>
      </c>
      <c r="E208" s="156">
        <f t="shared" ref="E208:AC208" si="107">$C$181*(E129*100)^$D$181/$E$181</f>
        <v>1</v>
      </c>
      <c r="F208" s="156">
        <f t="shared" si="107"/>
        <v>1</v>
      </c>
      <c r="G208" s="156">
        <f t="shared" si="107"/>
        <v>1</v>
      </c>
      <c r="H208" s="156">
        <f t="shared" si="107"/>
        <v>1</v>
      </c>
      <c r="I208" s="156">
        <f t="shared" si="107"/>
        <v>1</v>
      </c>
      <c r="J208" s="156">
        <f t="shared" si="107"/>
        <v>0.91008075941738409</v>
      </c>
      <c r="K208" s="156">
        <f t="shared" si="107"/>
        <v>0.91008075941738409</v>
      </c>
      <c r="L208" s="156">
        <f t="shared" si="107"/>
        <v>0.91248500111089259</v>
      </c>
      <c r="M208" s="156">
        <f t="shared" si="107"/>
        <v>0.91491035766246753</v>
      </c>
      <c r="N208" s="156">
        <f t="shared" si="107"/>
        <v>0.91735714576503458</v>
      </c>
      <c r="O208" s="156">
        <f t="shared" si="107"/>
        <v>0.91982568885452709</v>
      </c>
      <c r="P208" s="156">
        <f t="shared" si="107"/>
        <v>0.92231631729642072</v>
      </c>
      <c r="Q208" s="156">
        <f t="shared" si="107"/>
        <v>0.92482936857863418</v>
      </c>
      <c r="R208" s="156">
        <f t="shared" si="107"/>
        <v>0.92992412643196076</v>
      </c>
      <c r="S208" s="156">
        <f t="shared" si="107"/>
        <v>0.93250654542160061</v>
      </c>
      <c r="T208" s="156">
        <f t="shared" si="107"/>
        <v>0.93774330397220451</v>
      </c>
      <c r="U208" s="156">
        <f t="shared" si="107"/>
        <v>0.94307850724242182</v>
      </c>
      <c r="V208" s="156">
        <f t="shared" si="107"/>
        <v>0.94851533817112954</v>
      </c>
      <c r="W208" s="156">
        <f t="shared" si="107"/>
        <v>0.95405712684550292</v>
      </c>
      <c r="X208" s="156">
        <f t="shared" si="107"/>
        <v>0.9597073594046629</v>
      </c>
      <c r="Y208" s="156">
        <f t="shared" si="107"/>
        <v>0.96546968761270158</v>
      </c>
      <c r="Z208" s="156">
        <f t="shared" si="107"/>
        <v>0.97433178316170632</v>
      </c>
      <c r="AA208" s="156">
        <f t="shared" si="107"/>
        <v>0.98039150901377525</v>
      </c>
      <c r="AB208" s="156">
        <f t="shared" si="107"/>
        <v>0.98971938895370881</v>
      </c>
      <c r="AC208" s="156">
        <f t="shared" si="107"/>
        <v>0.99934709046638315</v>
      </c>
      <c r="AD208" s="162"/>
    </row>
    <row r="209" spans="2:30" ht="13.5" customHeight="1" x14ac:dyDescent="0.15">
      <c r="B209" s="288" t="s">
        <v>238</v>
      </c>
      <c r="C209" s="339" t="s">
        <v>233</v>
      </c>
      <c r="D209" s="4" t="s">
        <v>234</v>
      </c>
      <c r="E209" s="113">
        <f>E185*G180*E203*365/1000</f>
        <v>1086.7266666666667</v>
      </c>
      <c r="F209" s="113">
        <f>F185*G180*F203*365/1000</f>
        <v>1086.1201998549527</v>
      </c>
      <c r="G209" s="113">
        <f>G185*G180*G203*365/1000</f>
        <v>1085.3953727375699</v>
      </c>
      <c r="H209" s="113">
        <f>H185*G180*H203*365/1000</f>
        <v>1084.5509945412221</v>
      </c>
      <c r="I209" s="113">
        <f>I185*G180*I203*365/1000</f>
        <v>1083.5725899854435</v>
      </c>
      <c r="J209" s="113">
        <f>J185*G180*J203*365/1000</f>
        <v>1082.4714813327225</v>
      </c>
      <c r="K209" s="113">
        <f>K185*G180*K203*365/1000</f>
        <v>1081.2457963284685</v>
      </c>
      <c r="L209" s="113">
        <f>L185*G180*L203*365/1000</f>
        <v>1079.8801199972972</v>
      </c>
      <c r="M209" s="113">
        <f>M185*G180*M203*365/1000</f>
        <v>1078.3851980373265</v>
      </c>
      <c r="N209" s="113">
        <f>N185*G180*N203*365/1000</f>
        <v>1076.7583611142786</v>
      </c>
      <c r="O209" s="113">
        <f>O185*G180*O203*365/1000</f>
        <v>1074.9830398260881</v>
      </c>
      <c r="P209" s="113">
        <f>P185*G180*P203*365/1000</f>
        <v>711.62633210283536</v>
      </c>
      <c r="Q209" s="113">
        <f>Q185*G180*Q203*365/1000</f>
        <v>710.26301886779709</v>
      </c>
      <c r="R209" s="113">
        <f>R185*G180*R203*365/1000</f>
        <v>708.79355942381471</v>
      </c>
      <c r="S209" s="113">
        <f>S185*G180*S203*365/1000</f>
        <v>707.22411059500701</v>
      </c>
      <c r="T209" s="113">
        <f>T185*G180*T203*365/1000</f>
        <v>705.55143237119205</v>
      </c>
      <c r="U209" s="113">
        <f>U185*G180*U203*365/1000</f>
        <v>703.7623370710304</v>
      </c>
      <c r="V209" s="113">
        <f>V185*G180*V203*365/1000</f>
        <v>701.86227950868613</v>
      </c>
      <c r="W209" s="113">
        <f>W185*G180*W203*365/1000</f>
        <v>699.84692929103642</v>
      </c>
      <c r="X209" s="113">
        <f>X185*G180*X203*365/1000</f>
        <v>697.70146561626257</v>
      </c>
      <c r="Y209" s="113">
        <f>Y185*G180*Y203*365/1000</f>
        <v>695.43036375865347</v>
      </c>
      <c r="Z209" s="113">
        <f>Z185*G180*Z203*365/1000</f>
        <v>693.02779246735565</v>
      </c>
      <c r="AA209" s="113">
        <f>AA185*G180*AA203*365/1000</f>
        <v>690.47670974689936</v>
      </c>
      <c r="AB209" s="113">
        <f>AB185*G180*AB203*365/1000</f>
        <v>687.78015016090444</v>
      </c>
      <c r="AC209" s="113">
        <f>AC185*G180*AC203*365/1000</f>
        <v>684.93013045124576</v>
      </c>
      <c r="AD209" s="21">
        <f>SUM(E209:AC209)</f>
        <v>21698.366431854753</v>
      </c>
    </row>
    <row r="210" spans="2:30" x14ac:dyDescent="0.15">
      <c r="B210" s="282"/>
      <c r="C210" s="334"/>
      <c r="D210" s="96" t="s">
        <v>98</v>
      </c>
      <c r="E210" s="113">
        <f>E186*G181*E204*365/1000</f>
        <v>606.81249999999989</v>
      </c>
      <c r="F210" s="113">
        <f>F186*G181*F204*365/1000</f>
        <v>606.81249999999989</v>
      </c>
      <c r="G210" s="113">
        <f>G186*G181*G204*365/1000</f>
        <v>606.81249999999989</v>
      </c>
      <c r="H210" s="113">
        <f>H186*G181*H204*365/1000</f>
        <v>606.81249999999989</v>
      </c>
      <c r="I210" s="113">
        <f>I186*G181*I204*365/1000</f>
        <v>606.81249999999989</v>
      </c>
      <c r="J210" s="113">
        <f>J186*G181*J204*365/1000</f>
        <v>548.92158334911812</v>
      </c>
      <c r="K210" s="113">
        <f>K186*G181*K204*365/1000</f>
        <v>548.92158334911812</v>
      </c>
      <c r="L210" s="113">
        <f>L186*G181*L204*365/1000</f>
        <v>547.03613239037918</v>
      </c>
      <c r="M210" s="113">
        <f>M186*G181*M204*365/1000</f>
        <v>545.14568523901289</v>
      </c>
      <c r="N210" s="113">
        <f>N186*G181*N204*365/1000</f>
        <v>543.25019788166423</v>
      </c>
      <c r="O210" s="113">
        <f>O186*G181*O204*365/1000</f>
        <v>541.34962564279556</v>
      </c>
      <c r="P210" s="113">
        <f>P186*G181*P204*365/1000</f>
        <v>539.44392317053894</v>
      </c>
      <c r="Q210" s="113">
        <f>Q186*G181*Q204*365/1000</f>
        <v>537.53304442216245</v>
      </c>
      <c r="R210" s="113">
        <f>R186*G181*R204*365/1000</f>
        <v>533.6955703817323</v>
      </c>
      <c r="S210" s="113">
        <f>S186*G181*S204*365/1000</f>
        <v>531.76887941330483</v>
      </c>
      <c r="T210" s="113">
        <f>T186*G181*T204*365/1000</f>
        <v>527.89934476392489</v>
      </c>
      <c r="U210" s="113">
        <f>U186*G181*U204*365/1000</f>
        <v>524.00793767926734</v>
      </c>
      <c r="V210" s="113">
        <f>V186*G181*V204*365/1000</f>
        <v>520.0942442565979</v>
      </c>
      <c r="W210" s="113">
        <f>W186*G181*W204*365/1000</f>
        <v>516.15783712061818</v>
      </c>
      <c r="X210" s="113">
        <f>X186*G181*X204*365/1000</f>
        <v>512.19827479636331</v>
      </c>
      <c r="Y210" s="113">
        <f>Y186*G181*Y204*365/1000</f>
        <v>508.21510104388835</v>
      </c>
      <c r="Z210" s="113">
        <f>Z186*G181*Z204*365/1000</f>
        <v>502.19503270447956</v>
      </c>
      <c r="AA210" s="113">
        <f>AA186*G181*AA204*365/1000</f>
        <v>498.15073094166007</v>
      </c>
      <c r="AB210" s="113">
        <f>AB186*G181*AB204*365/1000</f>
        <v>492.03660935233876</v>
      </c>
      <c r="AC210" s="113">
        <f>AC186*G181*AC204*365/1000</f>
        <v>485.86366712272928</v>
      </c>
      <c r="AD210" s="21">
        <f t="shared" ref="AD210:AD214" si="108">SUM(E210:AC210)</f>
        <v>13537.947505021692</v>
      </c>
    </row>
    <row r="211" spans="2:30" ht="13.5" customHeight="1" x14ac:dyDescent="0.15">
      <c r="B211" s="282"/>
      <c r="C211" s="335" t="s">
        <v>235</v>
      </c>
      <c r="D211" s="4" t="s">
        <v>234</v>
      </c>
      <c r="E211" s="113">
        <f>E187*G180*E205*365/1000</f>
        <v>1086.7266666666667</v>
      </c>
      <c r="F211" s="113">
        <f>F187*G180*F205*365/1000</f>
        <v>1086.1201998549527</v>
      </c>
      <c r="G211" s="113">
        <f>G187*G180*G205*365/1000</f>
        <v>1085.3953727375699</v>
      </c>
      <c r="H211" s="113">
        <f>H187*G180*H205*365/1000</f>
        <v>1084.5509945412221</v>
      </c>
      <c r="I211" s="113">
        <f>I187*G180*I205*365/1000</f>
        <v>1083.5725899854435</v>
      </c>
      <c r="J211" s="113">
        <f>J187*G180*J205*365/1000</f>
        <v>1115.6934463687749</v>
      </c>
      <c r="K211" s="113">
        <f>K187*G180*K205*365/1000</f>
        <v>1114.6409652361062</v>
      </c>
      <c r="L211" s="113">
        <f>L187*G180*L205*365/1000</f>
        <v>1113.280621251572</v>
      </c>
      <c r="M211" s="113">
        <f>M187*G180*M205*365/1000</f>
        <v>1111.8084901595605</v>
      </c>
      <c r="N211" s="113">
        <f>N187*G180*N205*365/1000</f>
        <v>1110.2223720806696</v>
      </c>
      <c r="O211" s="113">
        <f>O187*G180*O205*365/1000</f>
        <v>1108.5081906079081</v>
      </c>
      <c r="P211" s="113">
        <f>P187*G180*P205*365/1000</f>
        <v>897.41540845807981</v>
      </c>
      <c r="Q211" s="113">
        <f>Q187*G180*Q205*365/1000</f>
        <v>895.82961603706508</v>
      </c>
      <c r="R211" s="113">
        <f>R187*G180*R205*365/1000</f>
        <v>893.97163356800888</v>
      </c>
      <c r="S211" s="113">
        <f>S187*G180*S205*365/1000</f>
        <v>892.16823055443047</v>
      </c>
      <c r="T211" s="113">
        <f>T187*G180*T205*365/1000</f>
        <v>890.09259484383483</v>
      </c>
      <c r="U211" s="113">
        <f>U187*G180*U205*365/1000</f>
        <v>887.89176580905917</v>
      </c>
      <c r="V211" s="113">
        <f>V187*G180*V205*365/1000</f>
        <v>885.57145469624425</v>
      </c>
      <c r="W211" s="113">
        <f>W187*G180*W205*365/1000</f>
        <v>883.12718080308707</v>
      </c>
      <c r="X211" s="113">
        <f>X187*G180*X205*365/1000</f>
        <v>880.54356412977131</v>
      </c>
      <c r="Y211" s="113">
        <f>Y187*G180*Y205*365/1000</f>
        <v>877.82542422767597</v>
      </c>
      <c r="Z211" s="113">
        <f>Z187*G180*Z205*365/1000</f>
        <v>874.78751872561145</v>
      </c>
      <c r="AA211" s="113">
        <f>AA187*G180*AA205*365/1000</f>
        <v>871.76795947869948</v>
      </c>
      <c r="AB211" s="113">
        <f>AB187*G180*AB205*365/1000</f>
        <v>868.40775173706515</v>
      </c>
      <c r="AC211" s="113">
        <f>AC187*G180*AC205*365/1000</f>
        <v>864.87762749471199</v>
      </c>
      <c r="AD211" s="21">
        <f t="shared" si="108"/>
        <v>24464.797640053788</v>
      </c>
    </row>
    <row r="212" spans="2:30" x14ac:dyDescent="0.15">
      <c r="B212" s="282"/>
      <c r="C212" s="336"/>
      <c r="D212" s="96" t="s">
        <v>98</v>
      </c>
      <c r="E212" s="113">
        <f>E188*G181*E206*365/1000</f>
        <v>606.81249999999989</v>
      </c>
      <c r="F212" s="113">
        <f>F188*G181*F206*365/1000</f>
        <v>606.81249999999989</v>
      </c>
      <c r="G212" s="113">
        <f>G188*G181*G206*365/1000</f>
        <v>606.81249999999989</v>
      </c>
      <c r="H212" s="113">
        <f>H188*G181*H206*365/1000</f>
        <v>606.81249999999989</v>
      </c>
      <c r="I212" s="113">
        <f>I188*G181*I206*365/1000</f>
        <v>606.81249999999989</v>
      </c>
      <c r="J212" s="113">
        <f>0.12*J188*G181*J206*365/1000</f>
        <v>65.870590001894172</v>
      </c>
      <c r="K212" s="113">
        <f>0.12*K188*G181*K206*365/1000</f>
        <v>65.870590001894172</v>
      </c>
      <c r="L212" s="113">
        <f>0.12*L188*G181*L206*365/1000</f>
        <v>65.644335886845496</v>
      </c>
      <c r="M212" s="113">
        <f>0.12*M188*G181*M206*365/1000</f>
        <v>65.417482228681536</v>
      </c>
      <c r="N212" s="113">
        <f>0.12*N188*G181*N206*365/1000</f>
        <v>65.190023745799721</v>
      </c>
      <c r="O212" s="113">
        <f>0.12*O188*G181*O206*365/1000</f>
        <v>64.961955077135471</v>
      </c>
      <c r="P212" s="113">
        <f>0.12*P188*G181*P206*365/1000</f>
        <v>64.733270780464679</v>
      </c>
      <c r="Q212" s="113">
        <f>0.12*Q188*G181*Q206*365/1000</f>
        <v>64.503965330659483</v>
      </c>
      <c r="R212" s="113">
        <f>0.12*R188*G181*R206*365/1000</f>
        <v>64.043468445807889</v>
      </c>
      <c r="S212" s="113">
        <f>0.12*S188*G181*S206*365/1000</f>
        <v>63.81226552959658</v>
      </c>
      <c r="T212" s="113">
        <f>0.12*T188*G181*T206*365/1000</f>
        <v>63.347921371670971</v>
      </c>
      <c r="U212" s="113">
        <f>0.12*U188*G181*U206*365/1000</f>
        <v>62.880952521512079</v>
      </c>
      <c r="V212" s="113">
        <f>0.12*V188*G181*V206*365/1000</f>
        <v>62.411309310791751</v>
      </c>
      <c r="W212" s="113">
        <f>0.12*W188*G181*W206*365/1000</f>
        <v>61.938940454474192</v>
      </c>
      <c r="X212" s="113">
        <f>0.12*X188*G181*X206*365/1000</f>
        <v>61.463792975563607</v>
      </c>
      <c r="Y212" s="113">
        <f>0.12*Y188*G181*Y206*365/1000</f>
        <v>60.985812125266605</v>
      </c>
      <c r="Z212" s="113">
        <f>0.12*Z188*G181*Z206*365/1000</f>
        <v>60.263403924537549</v>
      </c>
      <c r="AA212" s="113">
        <f>0.12*AA188*G181*AA206*365/1000</f>
        <v>59.778087712999209</v>
      </c>
      <c r="AB212" s="113">
        <f>0.12*AB188*G181*AB206*365/1000</f>
        <v>59.04439312228066</v>
      </c>
      <c r="AC212" s="113">
        <f>0.12*AC188*G181*AC206*365/1000</f>
        <v>58.303640054727516</v>
      </c>
      <c r="AD212" s="21">
        <f t="shared" si="108"/>
        <v>4294.528700602601</v>
      </c>
    </row>
    <row r="213" spans="2:30" ht="13.5" customHeight="1" x14ac:dyDescent="0.15">
      <c r="B213" s="282"/>
      <c r="C213" s="340" t="s">
        <v>236</v>
      </c>
      <c r="D213" s="4" t="s">
        <v>234</v>
      </c>
      <c r="E213" s="113">
        <f>E189*G180*E207*365/1000</f>
        <v>1086.7266666666667</v>
      </c>
      <c r="F213" s="113">
        <f>F189*G180*F207*365/1000</f>
        <v>1086.1201998549527</v>
      </c>
      <c r="G213" s="113">
        <f>G189*G180*G207*365/1000</f>
        <v>1085.3953727375699</v>
      </c>
      <c r="H213" s="113">
        <f>H189*G180*H207*365/1000</f>
        <v>1084.5509945412221</v>
      </c>
      <c r="I213" s="113">
        <f>I189*G180*I207*365/1000</f>
        <v>1083.5725899854435</v>
      </c>
      <c r="J213" s="113">
        <f>(1+0.1*J126/J125)*J189*G180*J207*365/1000</f>
        <v>1108.7373334532961</v>
      </c>
      <c r="K213" s="113">
        <f>(1+0.1*K126/K125)*K189*G180*K207*365/1000</f>
        <v>1107.8734913126771</v>
      </c>
      <c r="L213" s="113">
        <f>(1+0.1*L126/L125)*L189*G180*L207*365/1000</f>
        <v>1106.3130065166338</v>
      </c>
      <c r="M213" s="113">
        <f>(1+0.1*M126/M125)*M189*G180*M207*365/1000</f>
        <v>1105.018044594915</v>
      </c>
      <c r="N213" s="113">
        <f>(1+0.1*N126/N125)*N189*G180*N207*365/1000</f>
        <v>1103.1878845234473</v>
      </c>
      <c r="O213" s="113">
        <f>(1+0.1*O126/O125)*O189*G180*O207*365/1000</f>
        <v>1101.6095428125498</v>
      </c>
      <c r="P213" s="113">
        <f>(1+0.1*P126/P125)*P189*G180*P207*365/1000</f>
        <v>729.41699040540618</v>
      </c>
      <c r="Q213" s="113">
        <f>(1+0.1*Q126/Q125)*Q189*G180*Q207*365/1000</f>
        <v>727.90861574279415</v>
      </c>
      <c r="R213" s="113">
        <f>(1+0.1*R126/R125)*R189*G180*R207*365/1000</f>
        <v>726.457144952313</v>
      </c>
      <c r="S213" s="113">
        <f>(1+0.1*S126/S125)*S189*G180*S207*365/1000</f>
        <v>725.01878176481682</v>
      </c>
      <c r="T213" s="113">
        <f>(1+0.1*T126/T125)*T189*G180*T207*365/1000</f>
        <v>723.36371443433359</v>
      </c>
      <c r="U213" s="113">
        <f>(1+0.1*U126/U125)*U189*G180*U207*365/1000</f>
        <v>721.59098294349656</v>
      </c>
      <c r="V213" s="113">
        <f>(1+0.1*V126/V125)*V189*G180*V207*365/1000</f>
        <v>719.70623576738137</v>
      </c>
      <c r="W213" s="113">
        <f>(1+0.1*W126/W125)*W189*G180*W207*365/1000</f>
        <v>717.70509231432504</v>
      </c>
      <c r="X213" s="113">
        <f>(1+0.1*X126/X125)*X189*G180*X207*365/1000</f>
        <v>715.57241543731061</v>
      </c>
      <c r="Y213" s="113">
        <f>(1+0.1*Y126/Y125)*Y189*G180*Y207*365/1000</f>
        <v>713.3128588267333</v>
      </c>
      <c r="Z213" s="113">
        <f>(1+0.1*Z126/Z125)*Z189*G180*Z207*365/1000</f>
        <v>710.79450496515506</v>
      </c>
      <c r="AA213" s="113">
        <f>(1+0.1*AA126/AA125)*AA189*G180*AA207*365/1000</f>
        <v>708.25009172001398</v>
      </c>
      <c r="AB213" s="113">
        <f>(1+0.1*AB126/AB125)*AB189*G180*AB207*365/1000</f>
        <v>705.76824639588199</v>
      </c>
      <c r="AC213" s="113">
        <f>(1+0.1*AC126/AC125)*AC189*G180*AC207*365/1000</f>
        <v>702.79203385320966</v>
      </c>
      <c r="AD213" s="21">
        <f t="shared" si="108"/>
        <v>22106.762836522539</v>
      </c>
    </row>
    <row r="214" spans="2:30" x14ac:dyDescent="0.15">
      <c r="B214" s="282"/>
      <c r="C214" s="341"/>
      <c r="D214" s="96" t="s">
        <v>98</v>
      </c>
      <c r="E214" s="113">
        <f>E190*G181*E208*365/1000</f>
        <v>606.81249999999989</v>
      </c>
      <c r="F214" s="113">
        <f>F190*G181*F208*365/1000</f>
        <v>606.81249999999989</v>
      </c>
      <c r="G214" s="113">
        <f>G190*G181*G208*365/1000</f>
        <v>606.81249999999989</v>
      </c>
      <c r="H214" s="113">
        <f>H190*G181*H208*365/1000</f>
        <v>606.81249999999989</v>
      </c>
      <c r="I214" s="113">
        <f>I190*G181*I208*365/1000</f>
        <v>606.81249999999989</v>
      </c>
      <c r="J214" s="113">
        <f>0.12*J190*G181*J208*365/1000</f>
        <v>65.870590001894172</v>
      </c>
      <c r="K214" s="113">
        <f>0.12*K190*G181*K208*365/1000</f>
        <v>65.870590001894172</v>
      </c>
      <c r="L214" s="113">
        <f>0.12*L190*G181*L208*365/1000</f>
        <v>65.644335886845496</v>
      </c>
      <c r="M214" s="113">
        <f>0.12*M190*G181*M208*365/1000</f>
        <v>65.417482228681536</v>
      </c>
      <c r="N214" s="113">
        <f>0.12*N190*G181*N208*365/1000</f>
        <v>65.190023745799721</v>
      </c>
      <c r="O214" s="113">
        <f>0.12*O190*G181*O208*365/1000</f>
        <v>64.961955077135471</v>
      </c>
      <c r="P214" s="113">
        <f>0.12*P190*G181*P208*365/1000</f>
        <v>64.733270780464679</v>
      </c>
      <c r="Q214" s="113">
        <f>0.12*Q190*G181*Q208*365/1000</f>
        <v>64.503965330659483</v>
      </c>
      <c r="R214" s="113">
        <f>0.12*R190*G181*R208*365/1000</f>
        <v>64.043468445807889</v>
      </c>
      <c r="S214" s="113">
        <f>0.12*S190*G181*S208*365/1000</f>
        <v>63.81226552959658</v>
      </c>
      <c r="T214" s="113">
        <f>0.12*T190*G181*T208*365/1000</f>
        <v>63.347921371670971</v>
      </c>
      <c r="U214" s="113">
        <f>0.12*U190*G181*U208*365/1000</f>
        <v>62.880952521512079</v>
      </c>
      <c r="V214" s="113">
        <f>0.12*V190*G181*V208*365/1000</f>
        <v>62.411309310791751</v>
      </c>
      <c r="W214" s="113">
        <f>0.12*W190*G181*W208*365/1000</f>
        <v>61.938940454474192</v>
      </c>
      <c r="X214" s="113">
        <f>0.12*X190*G181*X208*365/1000</f>
        <v>61.463792975563607</v>
      </c>
      <c r="Y214" s="113">
        <f>0.12*Y190*G181*Y208*365/1000</f>
        <v>60.985812125266605</v>
      </c>
      <c r="Z214" s="113">
        <f>0.12*Z190*G181*Z208*365/1000</f>
        <v>60.263403924537549</v>
      </c>
      <c r="AA214" s="113">
        <f>0.12*AA190*G181*AA208*365/1000</f>
        <v>59.778087712999209</v>
      </c>
      <c r="AB214" s="113">
        <f>0.12*AB190*G181*AB208*365/1000</f>
        <v>59.04439312228066</v>
      </c>
      <c r="AC214" s="113">
        <f>0.12*AC190*G181*AC208*365/1000</f>
        <v>58.303640054727516</v>
      </c>
      <c r="AD214" s="21">
        <f t="shared" si="108"/>
        <v>4294.528700602601</v>
      </c>
    </row>
    <row r="215" spans="2:30" x14ac:dyDescent="0.15">
      <c r="B215" s="283" t="s">
        <v>238</v>
      </c>
      <c r="C215" s="317" t="s">
        <v>169</v>
      </c>
      <c r="D215" s="318"/>
      <c r="E215" s="43">
        <f>SUM(E209:E210)</f>
        <v>1693.5391666666665</v>
      </c>
      <c r="F215" s="43">
        <f>SUM(F209:F210)</f>
        <v>1692.9326998549527</v>
      </c>
      <c r="G215" s="43">
        <f t="shared" ref="G215:AC215" si="109">SUM(G209:G210)</f>
        <v>1692.2078727375697</v>
      </c>
      <c r="H215" s="43">
        <f t="shared" si="109"/>
        <v>1691.3634945412218</v>
      </c>
      <c r="I215" s="43">
        <f t="shared" si="109"/>
        <v>1690.3850899854433</v>
      </c>
      <c r="J215" s="43">
        <f>SUM(J209:J210)</f>
        <v>1631.3930646818408</v>
      </c>
      <c r="K215" s="43">
        <f t="shared" si="109"/>
        <v>1630.1673796775867</v>
      </c>
      <c r="L215" s="43">
        <f t="shared" si="109"/>
        <v>1626.9162523876764</v>
      </c>
      <c r="M215" s="43">
        <f t="shared" si="109"/>
        <v>1623.5308832763394</v>
      </c>
      <c r="N215" s="43">
        <f t="shared" si="109"/>
        <v>1620.0085589959428</v>
      </c>
      <c r="O215" s="43">
        <f t="shared" si="109"/>
        <v>1616.3326654688835</v>
      </c>
      <c r="P215" s="43">
        <f t="shared" si="109"/>
        <v>1251.0702552733742</v>
      </c>
      <c r="Q215" s="43">
        <f t="shared" si="109"/>
        <v>1247.7960632899594</v>
      </c>
      <c r="R215" s="43">
        <f>SUM(R209:R210)</f>
        <v>1242.489129805547</v>
      </c>
      <c r="S215" s="43">
        <f t="shared" si="109"/>
        <v>1238.9929900083118</v>
      </c>
      <c r="T215" s="43">
        <f t="shared" si="109"/>
        <v>1233.4507771351168</v>
      </c>
      <c r="U215" s="43">
        <f t="shared" si="109"/>
        <v>1227.7702747502976</v>
      </c>
      <c r="V215" s="43">
        <f t="shared" si="109"/>
        <v>1221.9565237652841</v>
      </c>
      <c r="W215" s="43">
        <f t="shared" si="109"/>
        <v>1216.0047664116546</v>
      </c>
      <c r="X215" s="43">
        <f t="shared" si="109"/>
        <v>1209.8997404126258</v>
      </c>
      <c r="Y215" s="43">
        <f t="shared" si="109"/>
        <v>1203.6454648025419</v>
      </c>
      <c r="Z215" s="43">
        <f t="shared" si="109"/>
        <v>1195.2228251718352</v>
      </c>
      <c r="AA215" s="43">
        <f t="shared" si="109"/>
        <v>1188.6274406885595</v>
      </c>
      <c r="AB215" s="43">
        <f t="shared" si="109"/>
        <v>1179.8167595132431</v>
      </c>
      <c r="AC215" s="43">
        <f t="shared" si="109"/>
        <v>1170.7937975739751</v>
      </c>
      <c r="AD215" s="52">
        <f t="shared" ref="AD215:AD232" si="110">SUM(E215:AC215)</f>
        <v>35236.313936876446</v>
      </c>
    </row>
    <row r="216" spans="2:30" x14ac:dyDescent="0.15">
      <c r="B216" s="284"/>
      <c r="C216" s="351" t="s">
        <v>333</v>
      </c>
      <c r="D216" s="320"/>
      <c r="E216" s="51">
        <f>SUM(E211:E212)</f>
        <v>1693.5391666666665</v>
      </c>
      <c r="F216" s="51">
        <f t="shared" ref="F216:AC216" si="111">SUM(F211:F212)</f>
        <v>1692.9326998549527</v>
      </c>
      <c r="G216" s="51">
        <f t="shared" si="111"/>
        <v>1692.2078727375697</v>
      </c>
      <c r="H216" s="51">
        <f t="shared" si="111"/>
        <v>1691.3634945412218</v>
      </c>
      <c r="I216" s="51">
        <f t="shared" si="111"/>
        <v>1690.3850899854433</v>
      </c>
      <c r="J216" s="51">
        <f t="shared" si="111"/>
        <v>1181.5640363706691</v>
      </c>
      <c r="K216" s="51">
        <f t="shared" si="111"/>
        <v>1180.5115552380005</v>
      </c>
      <c r="L216" s="51">
        <f t="shared" si="111"/>
        <v>1178.9249571384175</v>
      </c>
      <c r="M216" s="51">
        <f t="shared" si="111"/>
        <v>1177.2259723882421</v>
      </c>
      <c r="N216" s="51">
        <f t="shared" si="111"/>
        <v>1175.4123958264693</v>
      </c>
      <c r="O216" s="51">
        <f t="shared" si="111"/>
        <v>1173.4701456850435</v>
      </c>
      <c r="P216" s="51">
        <f>SUM(P211:P212)</f>
        <v>962.14867923854445</v>
      </c>
      <c r="Q216" s="51">
        <f t="shared" si="111"/>
        <v>960.33358136772461</v>
      </c>
      <c r="R216" s="51">
        <f t="shared" si="111"/>
        <v>958.01510201381677</v>
      </c>
      <c r="S216" s="51">
        <f t="shared" si="111"/>
        <v>955.9804960840271</v>
      </c>
      <c r="T216" s="51">
        <f t="shared" si="111"/>
        <v>953.4405162155058</v>
      </c>
      <c r="U216" s="51">
        <f t="shared" si="111"/>
        <v>950.77271833057125</v>
      </c>
      <c r="V216" s="51">
        <f t="shared" si="111"/>
        <v>947.98276400703594</v>
      </c>
      <c r="W216" s="51">
        <f t="shared" si="111"/>
        <v>945.06612125756124</v>
      </c>
      <c r="X216" s="51">
        <f t="shared" si="111"/>
        <v>942.0073571053349</v>
      </c>
      <c r="Y216" s="51">
        <f t="shared" si="111"/>
        <v>938.81123635294261</v>
      </c>
      <c r="Z216" s="51">
        <f t="shared" si="111"/>
        <v>935.050922650149</v>
      </c>
      <c r="AA216" s="51">
        <f t="shared" si="111"/>
        <v>931.54604719169868</v>
      </c>
      <c r="AB216" s="51">
        <f t="shared" si="111"/>
        <v>927.45214485934582</v>
      </c>
      <c r="AC216" s="51">
        <f t="shared" si="111"/>
        <v>923.18126754943955</v>
      </c>
      <c r="AD216" s="53">
        <f t="shared" si="110"/>
        <v>28759.3263406564</v>
      </c>
    </row>
    <row r="217" spans="2:30" x14ac:dyDescent="0.15">
      <c r="B217" s="285"/>
      <c r="C217" s="321" t="s">
        <v>207</v>
      </c>
      <c r="D217" s="322"/>
      <c r="E217" s="45">
        <f>SUM(E213:E214)</f>
        <v>1693.5391666666665</v>
      </c>
      <c r="F217" s="45">
        <f t="shared" ref="F217:AC217" si="112">SUM(F213:F214)</f>
        <v>1692.9326998549527</v>
      </c>
      <c r="G217" s="45">
        <f t="shared" si="112"/>
        <v>1692.2078727375697</v>
      </c>
      <c r="H217" s="45">
        <f t="shared" si="112"/>
        <v>1691.3634945412218</v>
      </c>
      <c r="I217" s="45">
        <f t="shared" si="112"/>
        <v>1690.3850899854433</v>
      </c>
      <c r="J217" s="45">
        <f>SUM(J213:J214)</f>
        <v>1174.6079234551903</v>
      </c>
      <c r="K217" s="45">
        <f t="shared" si="112"/>
        <v>1173.7440813145713</v>
      </c>
      <c r="L217" s="45">
        <f t="shared" si="112"/>
        <v>1171.9573424034793</v>
      </c>
      <c r="M217" s="45">
        <f t="shared" si="112"/>
        <v>1170.4355268235965</v>
      </c>
      <c r="N217" s="45">
        <f t="shared" si="112"/>
        <v>1168.377908269247</v>
      </c>
      <c r="O217" s="45">
        <f t="shared" si="112"/>
        <v>1166.5714978896851</v>
      </c>
      <c r="P217" s="45">
        <f t="shared" si="112"/>
        <v>794.15026118587082</v>
      </c>
      <c r="Q217" s="45">
        <f t="shared" si="112"/>
        <v>792.41258107345368</v>
      </c>
      <c r="R217" s="45">
        <f t="shared" si="112"/>
        <v>790.50061339812089</v>
      </c>
      <c r="S217" s="45">
        <f t="shared" si="112"/>
        <v>788.83104729441345</v>
      </c>
      <c r="T217" s="45">
        <f t="shared" si="112"/>
        <v>786.71163580600455</v>
      </c>
      <c r="U217" s="45">
        <f t="shared" si="112"/>
        <v>784.47193546500864</v>
      </c>
      <c r="V217" s="45">
        <f t="shared" si="112"/>
        <v>782.11754507817318</v>
      </c>
      <c r="W217" s="45">
        <f t="shared" si="112"/>
        <v>779.64403276879921</v>
      </c>
      <c r="X217" s="45">
        <f t="shared" si="112"/>
        <v>777.0362084128742</v>
      </c>
      <c r="Y217" s="45">
        <f t="shared" si="112"/>
        <v>774.29867095199995</v>
      </c>
      <c r="Z217" s="45">
        <f t="shared" si="112"/>
        <v>771.05790888969261</v>
      </c>
      <c r="AA217" s="45">
        <f t="shared" si="112"/>
        <v>768.02817943301318</v>
      </c>
      <c r="AB217" s="45">
        <f t="shared" si="112"/>
        <v>764.81263951816265</v>
      </c>
      <c r="AC217" s="45">
        <f t="shared" si="112"/>
        <v>761.09567390793723</v>
      </c>
      <c r="AD217" s="163">
        <f>SUM(E217:AC217)</f>
        <v>26401.291537125155</v>
      </c>
    </row>
    <row r="218" spans="2:30" ht="13.5" customHeight="1" x14ac:dyDescent="0.15">
      <c r="B218" s="328" t="s">
        <v>239</v>
      </c>
      <c r="C218" s="317" t="s">
        <v>169</v>
      </c>
      <c r="D218" s="318"/>
      <c r="E218" s="43">
        <f>E215*3.6</f>
        <v>6096.7409999999991</v>
      </c>
      <c r="F218" s="43">
        <f t="shared" ref="F218:AC218" si="113">F215*3.6</f>
        <v>6094.5577194778298</v>
      </c>
      <c r="G218" s="43">
        <f t="shared" si="113"/>
        <v>6091.9483418552509</v>
      </c>
      <c r="H218" s="43">
        <f t="shared" si="113"/>
        <v>6088.9085803483986</v>
      </c>
      <c r="I218" s="43">
        <f t="shared" si="113"/>
        <v>6085.3863239475959</v>
      </c>
      <c r="J218" s="43">
        <f t="shared" si="113"/>
        <v>5873.015032854627</v>
      </c>
      <c r="K218" s="43">
        <f t="shared" si="113"/>
        <v>5868.6025668393122</v>
      </c>
      <c r="L218" s="43">
        <f t="shared" si="113"/>
        <v>5856.8985085956356</v>
      </c>
      <c r="M218" s="43">
        <f t="shared" si="113"/>
        <v>5844.7111797948219</v>
      </c>
      <c r="N218" s="43">
        <f t="shared" si="113"/>
        <v>5832.0308123853947</v>
      </c>
      <c r="O218" s="43">
        <f t="shared" si="113"/>
        <v>5818.7975956879809</v>
      </c>
      <c r="P218" s="43">
        <f t="shared" si="113"/>
        <v>4503.8529189841474</v>
      </c>
      <c r="Q218" s="43">
        <f t="shared" si="113"/>
        <v>4492.0658278438541</v>
      </c>
      <c r="R218" s="43">
        <f t="shared" si="113"/>
        <v>4472.9608672999693</v>
      </c>
      <c r="S218" s="43">
        <f t="shared" si="113"/>
        <v>4460.3747640299225</v>
      </c>
      <c r="T218" s="43">
        <f t="shared" si="113"/>
        <v>4440.4227976864204</v>
      </c>
      <c r="U218" s="43">
        <f t="shared" si="113"/>
        <v>4419.972989101072</v>
      </c>
      <c r="V218" s="43">
        <f t="shared" si="113"/>
        <v>4399.0434855550229</v>
      </c>
      <c r="W218" s="43">
        <f t="shared" si="113"/>
        <v>4377.6171590819567</v>
      </c>
      <c r="X218" s="43">
        <f t="shared" si="113"/>
        <v>4355.6390654854531</v>
      </c>
      <c r="Y218" s="43">
        <f t="shared" si="113"/>
        <v>4333.1236732891512</v>
      </c>
      <c r="Z218" s="43">
        <f t="shared" si="113"/>
        <v>4302.8021706186073</v>
      </c>
      <c r="AA218" s="43">
        <f t="shared" si="113"/>
        <v>4279.0587864788149</v>
      </c>
      <c r="AB218" s="43">
        <f t="shared" si="113"/>
        <v>4247.3403342476759</v>
      </c>
      <c r="AC218" s="43">
        <f t="shared" si="113"/>
        <v>4214.8576712663107</v>
      </c>
      <c r="AD218" s="272">
        <f t="shared" si="110"/>
        <v>126850.73017275525</v>
      </c>
    </row>
    <row r="219" spans="2:30" x14ac:dyDescent="0.15">
      <c r="B219" s="329"/>
      <c r="C219" s="351" t="s">
        <v>334</v>
      </c>
      <c r="D219" s="320"/>
      <c r="E219" s="51">
        <f t="shared" ref="E219:AC219" si="114">E216*3.6</f>
        <v>6096.7409999999991</v>
      </c>
      <c r="F219" s="51">
        <f t="shared" si="114"/>
        <v>6094.5577194778298</v>
      </c>
      <c r="G219" s="51">
        <f t="shared" si="114"/>
        <v>6091.9483418552509</v>
      </c>
      <c r="H219" s="51">
        <f t="shared" si="114"/>
        <v>6088.9085803483986</v>
      </c>
      <c r="I219" s="51">
        <f t="shared" si="114"/>
        <v>6085.3863239475959</v>
      </c>
      <c r="J219" s="51">
        <f t="shared" si="114"/>
        <v>4253.6305309344089</v>
      </c>
      <c r="K219" s="51">
        <f t="shared" si="114"/>
        <v>4249.8415988568022</v>
      </c>
      <c r="L219" s="51">
        <f t="shared" si="114"/>
        <v>4244.1298456983031</v>
      </c>
      <c r="M219" s="51">
        <f t="shared" si="114"/>
        <v>4238.0135005976717</v>
      </c>
      <c r="N219" s="51">
        <f t="shared" si="114"/>
        <v>4231.4846249752891</v>
      </c>
      <c r="O219" s="51">
        <f t="shared" si="114"/>
        <v>4224.4925244661563</v>
      </c>
      <c r="P219" s="51">
        <f>P216*3.6</f>
        <v>3463.7352452587602</v>
      </c>
      <c r="Q219" s="51">
        <f t="shared" si="114"/>
        <v>3457.2008929238086</v>
      </c>
      <c r="R219" s="51">
        <f t="shared" si="114"/>
        <v>3448.8543672497403</v>
      </c>
      <c r="S219" s="51">
        <f t="shared" si="114"/>
        <v>3441.5297859024977</v>
      </c>
      <c r="T219" s="51">
        <f t="shared" si="114"/>
        <v>3432.385858375821</v>
      </c>
      <c r="U219" s="51">
        <f t="shared" si="114"/>
        <v>3422.7817859900565</v>
      </c>
      <c r="V219" s="51">
        <f t="shared" si="114"/>
        <v>3412.7379504253295</v>
      </c>
      <c r="W219" s="51">
        <f t="shared" si="114"/>
        <v>3402.2380365272206</v>
      </c>
      <c r="X219" s="51">
        <f t="shared" si="114"/>
        <v>3391.2264855792059</v>
      </c>
      <c r="Y219" s="51">
        <f t="shared" si="114"/>
        <v>3379.7204508705936</v>
      </c>
      <c r="Z219" s="51">
        <f t="shared" si="114"/>
        <v>3366.1833215405363</v>
      </c>
      <c r="AA219" s="51">
        <f t="shared" si="114"/>
        <v>3353.5657698901155</v>
      </c>
      <c r="AB219" s="51">
        <f t="shared" si="114"/>
        <v>3338.8277214936452</v>
      </c>
      <c r="AC219" s="51">
        <f t="shared" si="114"/>
        <v>3323.4525631779825</v>
      </c>
      <c r="AD219" s="273">
        <f t="shared" si="110"/>
        <v>103533.57482636302</v>
      </c>
    </row>
    <row r="220" spans="2:30" ht="14.25" thickBot="1" x14ac:dyDescent="0.2">
      <c r="B220" s="330"/>
      <c r="C220" s="364" t="s">
        <v>207</v>
      </c>
      <c r="D220" s="365"/>
      <c r="E220" s="157">
        <f>E217*3.6</f>
        <v>6096.7409999999991</v>
      </c>
      <c r="F220" s="157">
        <f>F217*3.6</f>
        <v>6094.5577194778298</v>
      </c>
      <c r="G220" s="157">
        <f t="shared" ref="G220:AC220" si="115">G217*3.6</f>
        <v>6091.9483418552509</v>
      </c>
      <c r="H220" s="157">
        <f t="shared" si="115"/>
        <v>6088.9085803483986</v>
      </c>
      <c r="I220" s="157">
        <f t="shared" si="115"/>
        <v>6085.3863239475959</v>
      </c>
      <c r="J220" s="157">
        <f>J217*3.6</f>
        <v>4228.5885244386855</v>
      </c>
      <c r="K220" s="157">
        <f t="shared" si="115"/>
        <v>4225.4786927324567</v>
      </c>
      <c r="L220" s="157">
        <f t="shared" si="115"/>
        <v>4219.0464326525253</v>
      </c>
      <c r="M220" s="157">
        <f t="shared" si="115"/>
        <v>4213.5678965649477</v>
      </c>
      <c r="N220" s="157">
        <f t="shared" si="115"/>
        <v>4206.1604697692892</v>
      </c>
      <c r="O220" s="157">
        <f t="shared" si="115"/>
        <v>4199.6573924028662</v>
      </c>
      <c r="P220" s="157">
        <f>P217*3.6</f>
        <v>2858.9409402691349</v>
      </c>
      <c r="Q220" s="157">
        <f t="shared" si="115"/>
        <v>2852.6852918644331</v>
      </c>
      <c r="R220" s="157">
        <f t="shared" si="115"/>
        <v>2845.8022082332354</v>
      </c>
      <c r="S220" s="157">
        <f t="shared" si="115"/>
        <v>2839.7917702598884</v>
      </c>
      <c r="T220" s="157">
        <f t="shared" si="115"/>
        <v>2832.1618889016163</v>
      </c>
      <c r="U220" s="157">
        <f t="shared" si="115"/>
        <v>2824.098967674031</v>
      </c>
      <c r="V220" s="157">
        <f t="shared" si="115"/>
        <v>2815.6231622814234</v>
      </c>
      <c r="W220" s="157">
        <f t="shared" si="115"/>
        <v>2806.7185179676771</v>
      </c>
      <c r="X220" s="157">
        <f t="shared" si="115"/>
        <v>2797.3303502863473</v>
      </c>
      <c r="Y220" s="157">
        <f t="shared" si="115"/>
        <v>2787.4752154272001</v>
      </c>
      <c r="Z220" s="157">
        <f t="shared" si="115"/>
        <v>2775.8084720028933</v>
      </c>
      <c r="AA220" s="157">
        <f t="shared" si="115"/>
        <v>2764.9014459588475</v>
      </c>
      <c r="AB220" s="157">
        <f t="shared" si="115"/>
        <v>2753.3255022653857</v>
      </c>
      <c r="AC220" s="157">
        <f t="shared" si="115"/>
        <v>2739.9444260685741</v>
      </c>
      <c r="AD220" s="275">
        <f>SUM(E220:AC220)</f>
        <v>95044.649533650547</v>
      </c>
    </row>
    <row r="221" spans="2:30" ht="13.5" customHeight="1" thickTop="1" x14ac:dyDescent="0.15">
      <c r="B221" s="326" t="s">
        <v>240</v>
      </c>
      <c r="C221" s="331" t="s">
        <v>169</v>
      </c>
      <c r="D221" s="332"/>
      <c r="E221" s="158">
        <f>E215*0.000474*1000</f>
        <v>802.73756499999979</v>
      </c>
      <c r="F221" s="158">
        <f t="shared" ref="F221:AC221" si="116">F215*0.000474*1000</f>
        <v>802.45009973124763</v>
      </c>
      <c r="G221" s="158">
        <f t="shared" si="116"/>
        <v>802.10653167760802</v>
      </c>
      <c r="H221" s="158">
        <f t="shared" si="116"/>
        <v>801.70629641253913</v>
      </c>
      <c r="I221" s="158">
        <f t="shared" si="116"/>
        <v>801.24253265310006</v>
      </c>
      <c r="J221" s="158">
        <f t="shared" si="116"/>
        <v>773.28031265919253</v>
      </c>
      <c r="K221" s="158">
        <f t="shared" si="116"/>
        <v>772.69933796717601</v>
      </c>
      <c r="L221" s="158">
        <f t="shared" si="116"/>
        <v>771.1583036317586</v>
      </c>
      <c r="M221" s="158">
        <f t="shared" si="116"/>
        <v>769.5536386729849</v>
      </c>
      <c r="N221" s="158">
        <f t="shared" si="116"/>
        <v>767.88405696407688</v>
      </c>
      <c r="O221" s="158">
        <f t="shared" si="116"/>
        <v>766.14168343225072</v>
      </c>
      <c r="P221" s="158">
        <f t="shared" si="116"/>
        <v>593.00730099957934</v>
      </c>
      <c r="Q221" s="158">
        <f>Q215*0.000474*1000</f>
        <v>591.45533399944077</v>
      </c>
      <c r="R221" s="158">
        <f t="shared" si="116"/>
        <v>588.93984752782922</v>
      </c>
      <c r="S221" s="158">
        <f t="shared" si="116"/>
        <v>587.28267726393983</v>
      </c>
      <c r="T221" s="158">
        <f t="shared" si="116"/>
        <v>584.65566836204528</v>
      </c>
      <c r="U221" s="158">
        <f t="shared" si="116"/>
        <v>581.96311023164105</v>
      </c>
      <c r="V221" s="158">
        <f t="shared" si="116"/>
        <v>579.20739226474461</v>
      </c>
      <c r="W221" s="158">
        <f t="shared" si="116"/>
        <v>576.38625927912426</v>
      </c>
      <c r="X221" s="158">
        <f t="shared" si="116"/>
        <v>573.49247695558461</v>
      </c>
      <c r="Y221" s="158">
        <f t="shared" si="116"/>
        <v>570.52795031640483</v>
      </c>
      <c r="Z221" s="158">
        <f t="shared" si="116"/>
        <v>566.53561913144995</v>
      </c>
      <c r="AA221" s="158">
        <f t="shared" si="116"/>
        <v>563.40940688637716</v>
      </c>
      <c r="AB221" s="158">
        <f t="shared" si="116"/>
        <v>559.23314400927723</v>
      </c>
      <c r="AC221" s="158">
        <f t="shared" si="116"/>
        <v>554.9562600500642</v>
      </c>
      <c r="AD221" s="164">
        <f t="shared" ref="AD221:AD229" si="117">SUM(E221:AC221)</f>
        <v>16702.012806079438</v>
      </c>
    </row>
    <row r="222" spans="2:30" x14ac:dyDescent="0.15">
      <c r="B222" s="326"/>
      <c r="C222" s="319" t="s">
        <v>189</v>
      </c>
      <c r="D222" s="320"/>
      <c r="E222" s="51">
        <f>E216*0.000474*1000</f>
        <v>802.73756499999979</v>
      </c>
      <c r="F222" s="51">
        <f t="shared" ref="F222:AC222" si="118">F216*0.000474*1000</f>
        <v>802.45009973124763</v>
      </c>
      <c r="G222" s="51">
        <f t="shared" si="118"/>
        <v>802.10653167760802</v>
      </c>
      <c r="H222" s="51">
        <f t="shared" si="118"/>
        <v>801.70629641253913</v>
      </c>
      <c r="I222" s="51">
        <f t="shared" si="118"/>
        <v>801.24253265310006</v>
      </c>
      <c r="J222" s="51">
        <f t="shared" si="118"/>
        <v>560.06135323969704</v>
      </c>
      <c r="K222" s="51">
        <f t="shared" si="118"/>
        <v>559.56247718281213</v>
      </c>
      <c r="L222" s="51">
        <f t="shared" si="118"/>
        <v>558.81042968360987</v>
      </c>
      <c r="M222" s="51">
        <f t="shared" si="118"/>
        <v>558.00511091202679</v>
      </c>
      <c r="N222" s="51">
        <f t="shared" si="118"/>
        <v>557.14547562174641</v>
      </c>
      <c r="O222" s="51">
        <f t="shared" si="118"/>
        <v>556.2248490547106</v>
      </c>
      <c r="P222" s="51">
        <f t="shared" si="118"/>
        <v>456.05847395907006</v>
      </c>
      <c r="Q222" s="51">
        <f>Q216*0.000474*1000</f>
        <v>455.19811756830143</v>
      </c>
      <c r="R222" s="51">
        <f t="shared" si="118"/>
        <v>454.0991583545491</v>
      </c>
      <c r="S222" s="51">
        <f t="shared" si="118"/>
        <v>453.13475514382884</v>
      </c>
      <c r="T222" s="51">
        <f t="shared" si="118"/>
        <v>451.93080468614971</v>
      </c>
      <c r="U222" s="51">
        <f t="shared" si="118"/>
        <v>450.66626848869072</v>
      </c>
      <c r="V222" s="51">
        <f t="shared" si="118"/>
        <v>449.34383013933501</v>
      </c>
      <c r="W222" s="51">
        <f t="shared" si="118"/>
        <v>447.96134147608404</v>
      </c>
      <c r="X222" s="51">
        <f t="shared" si="118"/>
        <v>446.51148726792871</v>
      </c>
      <c r="Y222" s="51">
        <f t="shared" si="118"/>
        <v>444.99652603129482</v>
      </c>
      <c r="Z222" s="51">
        <f t="shared" si="118"/>
        <v>443.21413733617061</v>
      </c>
      <c r="AA222" s="51">
        <f t="shared" si="118"/>
        <v>441.55282636886517</v>
      </c>
      <c r="AB222" s="51">
        <f t="shared" si="118"/>
        <v>439.61231666332992</v>
      </c>
      <c r="AC222" s="51">
        <f t="shared" si="118"/>
        <v>437.58792081843433</v>
      </c>
      <c r="AD222" s="53">
        <f>SUM(E222:AC222)</f>
        <v>13631.920685471128</v>
      </c>
    </row>
    <row r="223" spans="2:30" x14ac:dyDescent="0.15">
      <c r="B223" s="327"/>
      <c r="C223" s="321" t="s">
        <v>207</v>
      </c>
      <c r="D223" s="322"/>
      <c r="E223" s="45">
        <f>E217*0.000474*1000</f>
        <v>802.73756499999979</v>
      </c>
      <c r="F223" s="45">
        <f t="shared" ref="F223:AC223" si="119">F217*0.000474*1000</f>
        <v>802.45009973124763</v>
      </c>
      <c r="G223" s="45">
        <f t="shared" si="119"/>
        <v>802.10653167760802</v>
      </c>
      <c r="H223" s="45">
        <f t="shared" si="119"/>
        <v>801.70629641253913</v>
      </c>
      <c r="I223" s="45">
        <f t="shared" si="119"/>
        <v>801.24253265310006</v>
      </c>
      <c r="J223" s="45">
        <f t="shared" si="119"/>
        <v>556.76415571776022</v>
      </c>
      <c r="K223" s="45">
        <f t="shared" si="119"/>
        <v>556.3546945431068</v>
      </c>
      <c r="L223" s="45">
        <f t="shared" si="119"/>
        <v>555.50778029924913</v>
      </c>
      <c r="M223" s="45">
        <f t="shared" si="119"/>
        <v>554.78643971438464</v>
      </c>
      <c r="N223" s="45">
        <f t="shared" si="119"/>
        <v>553.81112851962303</v>
      </c>
      <c r="O223" s="45">
        <f t="shared" si="119"/>
        <v>552.95488999971076</v>
      </c>
      <c r="P223" s="45">
        <f t="shared" si="119"/>
        <v>376.42722380210273</v>
      </c>
      <c r="Q223" s="45">
        <f t="shared" si="119"/>
        <v>375.60356342881698</v>
      </c>
      <c r="R223" s="45">
        <f t="shared" si="119"/>
        <v>374.69729075070927</v>
      </c>
      <c r="S223" s="45">
        <f t="shared" si="119"/>
        <v>373.90591641755196</v>
      </c>
      <c r="T223" s="45">
        <f t="shared" si="119"/>
        <v>372.9013153720461</v>
      </c>
      <c r="U223" s="45">
        <f t="shared" si="119"/>
        <v>371.83969741041403</v>
      </c>
      <c r="V223" s="45">
        <f t="shared" si="119"/>
        <v>370.72371636705407</v>
      </c>
      <c r="W223" s="45">
        <f t="shared" si="119"/>
        <v>369.55127153241079</v>
      </c>
      <c r="X223" s="45">
        <f t="shared" si="119"/>
        <v>368.31516278770238</v>
      </c>
      <c r="Y223" s="45">
        <f t="shared" si="119"/>
        <v>367.01757003124794</v>
      </c>
      <c r="Z223" s="45">
        <f t="shared" si="119"/>
        <v>365.48144881371428</v>
      </c>
      <c r="AA223" s="45">
        <f t="shared" si="119"/>
        <v>364.04535705124823</v>
      </c>
      <c r="AB223" s="45">
        <f t="shared" si="119"/>
        <v>362.5211911316091</v>
      </c>
      <c r="AC223" s="45">
        <f t="shared" si="119"/>
        <v>360.75934943236223</v>
      </c>
      <c r="AD223" s="163">
        <f t="shared" si="117"/>
        <v>12514.212188597325</v>
      </c>
    </row>
    <row r="224" spans="2:30" ht="13.5" customHeight="1" x14ac:dyDescent="0.15">
      <c r="B224" s="325" t="s">
        <v>241</v>
      </c>
      <c r="C224" s="317" t="s">
        <v>169</v>
      </c>
      <c r="D224" s="318"/>
      <c r="E224" s="159">
        <f>+E185*H180*365+E186*H181*365</f>
        <v>1.3343670000000001</v>
      </c>
      <c r="F224" s="159">
        <f>+F185*H180*365+F186*H181*365</f>
        <v>1.329989044</v>
      </c>
      <c r="G224" s="159">
        <f>+G185*H180*365+G186*H181*365</f>
        <v>1.324772756</v>
      </c>
      <c r="H224" s="159">
        <f>+H185*H180*365+H186*H181*365</f>
        <v>1.318718136</v>
      </c>
      <c r="I224" s="159">
        <f>+I185*H180*365+I186*H181*365</f>
        <v>1.311732036</v>
      </c>
      <c r="J224" s="159">
        <f>+J185*H180*365+J186*H181*365</f>
        <v>1.3037251040000002</v>
      </c>
      <c r="K224" s="159">
        <f>+K185*H180*365+K186*H181*365</f>
        <v>1.2950623399999999</v>
      </c>
      <c r="L224" s="159">
        <f>+L185*H180*365+L186*H181*365</f>
        <v>1.285285596</v>
      </c>
      <c r="M224" s="159">
        <f>+M185*H180*365+M186*H181*365</f>
        <v>1.2746705199999999</v>
      </c>
      <c r="N224" s="159">
        <f>+N185*H180*365+N186*H181*365</f>
        <v>1.2632171120000002</v>
      </c>
      <c r="O224" s="159">
        <f>+O185*H180*365+O186*H181*365</f>
        <v>1.250832224</v>
      </c>
      <c r="P224" s="159">
        <f>+P185*H180*365+P186*H181*365</f>
        <v>1.2376090040000003</v>
      </c>
      <c r="Q224" s="159">
        <f>+Q185*H180*365+Q186*H181*365</f>
        <v>1.223547452</v>
      </c>
      <c r="R224" s="159">
        <f>+R185*H180*365+R186*H181*365</f>
        <v>1.20837192</v>
      </c>
      <c r="S224" s="159">
        <f>+S185*H180*365+S186*H181*365</f>
        <v>1.192540556</v>
      </c>
      <c r="T224" s="159">
        <f>+T185*H180*365+T186*H181*365</f>
        <v>1.1756883600000001</v>
      </c>
      <c r="U224" s="159">
        <f>+U185*H180*365+U186*H181*365</f>
        <v>1.1579046840000002</v>
      </c>
      <c r="V224" s="159">
        <f>+V185*H180*365+V186*H181*365</f>
        <v>1.1392826760000001</v>
      </c>
      <c r="W224" s="159">
        <f>+W185*H180*365+W186*H181*365</f>
        <v>1.1198223360000001</v>
      </c>
      <c r="X224" s="159">
        <f>+X185*H180*365+X186*H181*365</f>
        <v>1.099430516</v>
      </c>
      <c r="Y224" s="159">
        <f>+Y185*H180*365+Y186*H181*365</f>
        <v>1.0782003640000002</v>
      </c>
      <c r="Z224" s="159">
        <f>+Z185*H180*365+Z186*H181*365</f>
        <v>1.0559493799999999</v>
      </c>
      <c r="AA224" s="159">
        <f>+AA185*H180*365+AA186*H181*365</f>
        <v>1.0329494159999999</v>
      </c>
      <c r="AB224" s="159">
        <f>+AB185*H180*365+AB186*H181*365</f>
        <v>1.0089286200000001</v>
      </c>
      <c r="AC224" s="159">
        <f>+AC185*H180*365+AC186*H181*365</f>
        <v>0.98406949200000005</v>
      </c>
      <c r="AD224" s="52">
        <f t="shared" si="117"/>
        <v>30.006666643999999</v>
      </c>
    </row>
    <row r="225" spans="2:34" x14ac:dyDescent="0.15">
      <c r="B225" s="326"/>
      <c r="C225" s="319" t="s">
        <v>189</v>
      </c>
      <c r="D225" s="320"/>
      <c r="E225" s="160">
        <f>+E187*H180*365+E188*H181*365</f>
        <v>1.3343670000000001</v>
      </c>
      <c r="F225" s="160">
        <f>+F187*H180*365+F188*H181*365</f>
        <v>1.329989044</v>
      </c>
      <c r="G225" s="160">
        <f>+G187*H180*365+G188*H181*365</f>
        <v>1.324772756</v>
      </c>
      <c r="H225" s="160">
        <f>+H187*H180*365+H188*H181*365</f>
        <v>1.318718136</v>
      </c>
      <c r="I225" s="160">
        <f>+I187*H180*365+I188*H181*365</f>
        <v>1.311732036</v>
      </c>
      <c r="J225" s="160">
        <f>+J187*H180*365+H182*J188*365</f>
        <v>1.531616504</v>
      </c>
      <c r="K225" s="160">
        <f>+K187*H180*365+H182*K188*365</f>
        <v>1.5229537399999999</v>
      </c>
      <c r="L225" s="160">
        <f>+L187*H180*365+H182*L188*365</f>
        <v>1.5117958360000001</v>
      </c>
      <c r="M225" s="160">
        <f>+M187*H180*365+H182*M188*365</f>
        <v>1.4997996</v>
      </c>
      <c r="N225" s="160">
        <f>+N187*H180*365+H182*N188*365</f>
        <v>1.4869650320000001</v>
      </c>
      <c r="O225" s="160">
        <f>+O187*H180*365+H182*O188*365</f>
        <v>1.4731989840000002</v>
      </c>
      <c r="P225" s="160">
        <f>+P187*H180*365+H182*P188*365</f>
        <v>1.458594604</v>
      </c>
      <c r="Q225" s="160">
        <f>+Q187*H180*365+H182*Q188*365</f>
        <v>1.4431518919999999</v>
      </c>
      <c r="R225" s="160">
        <f>+R187*H180*365+H182*R188*365</f>
        <v>1.42521404</v>
      </c>
      <c r="S225" s="160">
        <f>+S187*H180*365+H182*S188*365</f>
        <v>1.4080015160000003</v>
      </c>
      <c r="T225" s="160">
        <f>+T187*H180*365+H182*T188*365</f>
        <v>1.388387</v>
      </c>
      <c r="U225" s="160">
        <f>+U187*H180*365+H182*U188*365</f>
        <v>1.367841004</v>
      </c>
      <c r="V225" s="160">
        <f>+V187*H180*365+H182*V188*365</f>
        <v>1.3464566759999999</v>
      </c>
      <c r="W225" s="160">
        <f>+W187*H180*365+H182*W188*365</f>
        <v>1.3242340160000001</v>
      </c>
      <c r="X225" s="160">
        <f>+X187*H180*365+H182*X188*365</f>
        <v>1.3010798759999997</v>
      </c>
      <c r="Y225" s="160">
        <f>+Y187*H180*365+H182*Y188*365</f>
        <v>1.2770874040000002</v>
      </c>
      <c r="Z225" s="160">
        <f>+Z187*H180*365+H182*Z188*365</f>
        <v>1.2506929399999998</v>
      </c>
      <c r="AA225" s="160">
        <f>+AA187*H180*365+H182*AA188*365</f>
        <v>1.2249306560000002</v>
      </c>
      <c r="AB225" s="160">
        <f>+AB187*H180*365+H182*AB188*365</f>
        <v>1.1967663799999999</v>
      </c>
      <c r="AC225" s="160">
        <f>+AC187*H180*365+H182*AC188*365</f>
        <v>1.167763772</v>
      </c>
      <c r="AD225" s="53">
        <f t="shared" si="117"/>
        <v>34.226110444</v>
      </c>
    </row>
    <row r="226" spans="2:34" x14ac:dyDescent="0.15">
      <c r="B226" s="327"/>
      <c r="C226" s="321" t="s">
        <v>207</v>
      </c>
      <c r="D226" s="322"/>
      <c r="E226" s="161">
        <f>+E189*H180*365+E190*H181*365</f>
        <v>1.3343670000000001</v>
      </c>
      <c r="F226" s="161">
        <f>+F189*H180*365+F190*H181*365</f>
        <v>1.329989044</v>
      </c>
      <c r="G226" s="161">
        <f>+G189*H180*365+G190*H181*365</f>
        <v>1.324772756</v>
      </c>
      <c r="H226" s="161">
        <f>+H189*H180*365+H190*H181*365</f>
        <v>1.318718136</v>
      </c>
      <c r="I226" s="161">
        <f>+I189*H180*365+I190*H181*365</f>
        <v>1.311732036</v>
      </c>
      <c r="J226" s="161">
        <f>+J189*H180*365+J190*H182*365</f>
        <v>1.2772261040000001</v>
      </c>
      <c r="K226" s="161">
        <f>+K189*H180*365+K190*H182*365</f>
        <v>1.2685633399999998</v>
      </c>
      <c r="L226" s="161">
        <f>+L189*H180*365+L190*H182*365</f>
        <v>1.258947196</v>
      </c>
      <c r="M226" s="161">
        <f>+M189*H180*365+M190*H182*365</f>
        <v>1.2484927199999998</v>
      </c>
      <c r="N226" s="161">
        <f>+N189*H180*365+N190*H182*365</f>
        <v>1.2371999120000001</v>
      </c>
      <c r="O226" s="161">
        <f>+O189*H180*365+O190*H182*365</f>
        <v>1.224975624</v>
      </c>
      <c r="P226" s="161">
        <f>+P189*H180*365+P190*H182*365</f>
        <v>1.2119130040000001</v>
      </c>
      <c r="Q226" s="161">
        <f>+Q189*H180*365+Q190*H182*365</f>
        <v>1.1980120520000002</v>
      </c>
      <c r="R226" s="161">
        <f>+R189*H180*365+R190*H182*365</f>
        <v>1.1831577200000001</v>
      </c>
      <c r="S226" s="161">
        <f>+S189*H180*365+S190*H182*365</f>
        <v>1.1674869560000001</v>
      </c>
      <c r="T226" s="161">
        <f>+T189*H180*365+T190*H182*365</f>
        <v>1.1509559600000001</v>
      </c>
      <c r="U226" s="161">
        <f>+U189*H180*365+U190*H182*365</f>
        <v>1.1334934840000002</v>
      </c>
      <c r="V226" s="161">
        <f>+V189*H180*365+V190*H182*365</f>
        <v>1.1151926760000002</v>
      </c>
      <c r="W226" s="161">
        <f>+W189*H180*365+W190*H182*365</f>
        <v>1.0960535360000001</v>
      </c>
      <c r="X226" s="161">
        <f>+X189*H180*365+X190*H182*365</f>
        <v>1.0759829159999998</v>
      </c>
      <c r="Y226" s="161">
        <f>+Y189*H180*365+Y190*H182*365</f>
        <v>1.0550739640000002</v>
      </c>
      <c r="Z226" s="161">
        <f>+Z189*H180*365+Z190*H182*365</f>
        <v>1.0333047799999999</v>
      </c>
      <c r="AA226" s="161">
        <f>+AA189*H180*365+AA190*H182*365</f>
        <v>1.010626016</v>
      </c>
      <c r="AB226" s="161">
        <f>+AB189*H180*365+AB190*H182*365</f>
        <v>0.98708702000000004</v>
      </c>
      <c r="AC226" s="161">
        <f>+AC189*H180*365+AC190*H182*365</f>
        <v>0.96270969200000001</v>
      </c>
      <c r="AD226" s="163">
        <f t="shared" ref="AD226" si="120">SUM(E226:AC226)</f>
        <v>29.516033644</v>
      </c>
    </row>
    <row r="227" spans="2:34" ht="13.5" customHeight="1" x14ac:dyDescent="0.15">
      <c r="B227" s="325" t="s">
        <v>242</v>
      </c>
      <c r="C227" s="317" t="s">
        <v>169</v>
      </c>
      <c r="D227" s="318"/>
      <c r="E227" s="159">
        <f>+E185*I180*365+E192*I181*365</f>
        <v>0.28454596999999998</v>
      </c>
      <c r="F227" s="159">
        <f>+F185*I180*365+F192*I181*365</f>
        <v>0.28374997800000001</v>
      </c>
      <c r="G227" s="159">
        <f>+G185*I180*365+G192*I181*365</f>
        <v>0.28280156200000001</v>
      </c>
      <c r="H227" s="159">
        <f>+H185*I180*365+H192*I181*365</f>
        <v>0.28170072199999996</v>
      </c>
      <c r="I227" s="159">
        <f>+I185*I180*365+I192*I181*365</f>
        <v>0.28043052200000002</v>
      </c>
      <c r="J227" s="159">
        <f>+J185*I180*365+J192*I181*365</f>
        <v>0.278722103</v>
      </c>
      <c r="K227" s="159">
        <f>+K185*I180*365+K192*I181*365</f>
        <v>0.27714705499999998</v>
      </c>
      <c r="L227" s="159">
        <f>+L185*I180*365+L192*I181*365</f>
        <v>0.27511685200000002</v>
      </c>
      <c r="M227" s="159">
        <f>+M185*I180*365+M192*I181*365</f>
        <v>0.27293422499999997</v>
      </c>
      <c r="N227" s="159">
        <f>+N185*I180*365+N192*I181*365</f>
        <v>0.270599174</v>
      </c>
      <c r="O227" s="159">
        <f>+O185*I180*365+O192*I181*365</f>
        <v>0.26809476300000001</v>
      </c>
      <c r="P227" s="159">
        <f>+P185*I180*365+P192*I181*365</f>
        <v>0.26543792799999999</v>
      </c>
      <c r="Q227" s="159">
        <f>+Q185*I180*365+Q192*I181*365</f>
        <v>0.26262866899999998</v>
      </c>
      <c r="R227" s="159">
        <f>+R185*I180*365+R192*I181*365</f>
        <v>0.25936425499999999</v>
      </c>
      <c r="S227" s="159">
        <f>+S185*I180*365+S192*I181*365</f>
        <v>0.25623321199999999</v>
      </c>
      <c r="T227" s="159">
        <f>+T185*I180*365+T192*I181*365</f>
        <v>0.25266395000000003</v>
      </c>
      <c r="U227" s="159">
        <f>+U185*I180*365+U192*I181*365</f>
        <v>0.248925328</v>
      </c>
      <c r="V227" s="159">
        <f>+V185*I180*365+V192*I181*365</f>
        <v>0.24503428199999999</v>
      </c>
      <c r="W227" s="159">
        <f>+W185*I180*365+W192*I181*365</f>
        <v>0.240990812</v>
      </c>
      <c r="X227" s="159">
        <f>+X185*I180*365+X192*I181*365</f>
        <v>0.236777982</v>
      </c>
      <c r="Y227" s="159">
        <f>+Y185*I180*365+Y192*I181*365</f>
        <v>0.23241272799999996</v>
      </c>
      <c r="Z227" s="159">
        <f>+Z185*I180*365+Z192*I181*365</f>
        <v>0.22760925500000004</v>
      </c>
      <c r="AA227" s="159">
        <f>+AA185*I180*365+AA192*I181*365</f>
        <v>0.22292221699999998</v>
      </c>
      <c r="AB227" s="159">
        <f>+AB185*I180*365+AB192*I181*365</f>
        <v>0.21779695999999998</v>
      </c>
      <c r="AC227" s="159">
        <f>+AC185*I180*365+AC192*I181*365</f>
        <v>0.21251927899999998</v>
      </c>
      <c r="AD227" s="52">
        <f t="shared" si="117"/>
        <v>6.4371597829999994</v>
      </c>
    </row>
    <row r="228" spans="2:34" x14ac:dyDescent="0.15">
      <c r="B228" s="326"/>
      <c r="C228" s="319" t="s">
        <v>189</v>
      </c>
      <c r="D228" s="320"/>
      <c r="E228" s="160">
        <f>+E187*I180*365+E194*I181*365</f>
        <v>0.28454596999999998</v>
      </c>
      <c r="F228" s="160">
        <f>+F187*I180*365+E194*J181*365</f>
        <v>0.23630800799999999</v>
      </c>
      <c r="G228" s="160">
        <f>+G187*I180*365+G194*I181*365</f>
        <v>0.28280156200000001</v>
      </c>
      <c r="H228" s="160">
        <f>+H187*I180*365+H194*I181*365</f>
        <v>0.28170072199999996</v>
      </c>
      <c r="I228" s="160">
        <f>+I187*I180*365+I194*I181*365</f>
        <v>0.28043052200000002</v>
      </c>
      <c r="J228" s="160">
        <f>+J187*I180*365+J194*I182*365</f>
        <v>0.28347746900000004</v>
      </c>
      <c r="K228" s="160">
        <f>+K187*I180*365+K194*I182*365</f>
        <v>0.28190242100000001</v>
      </c>
      <c r="L228" s="160">
        <f>+L187*I180*365+L194*I182*365</f>
        <v>0.27984339759999999</v>
      </c>
      <c r="M228" s="160">
        <f>+M187*I180*365+M194*I182*365</f>
        <v>0.27763195019999998</v>
      </c>
      <c r="N228" s="160">
        <f>+N187*I180*365+N194*I182*365</f>
        <v>0.27526807880000004</v>
      </c>
      <c r="O228" s="160">
        <f>+O187*I180*365+O194*I182*365</f>
        <v>0.27273484739999998</v>
      </c>
      <c r="P228" s="160">
        <f>+P187*I180*365+P194*I182*365</f>
        <v>0.27004919199999999</v>
      </c>
      <c r="Q228" s="160">
        <f>+Q187*I180*365+Q194*I182*365</f>
        <v>0.26721111259999997</v>
      </c>
      <c r="R228" s="160">
        <f>+R187*I180*365+R194*I182*365</f>
        <v>0.26388905779999999</v>
      </c>
      <c r="S228" s="160">
        <f>+S187*I180*365+S194*I182*365</f>
        <v>0.26072919440000003</v>
      </c>
      <c r="T228" s="160">
        <f>+T187*I180*365+T194*I182*365</f>
        <v>0.25710229160000003</v>
      </c>
      <c r="U228" s="160">
        <f>+U187*I180*365+U194*I182*365</f>
        <v>0.25330602880000003</v>
      </c>
      <c r="V228" s="160">
        <f>+V187*I180*365+V194*I182*365</f>
        <v>0.24935734199999998</v>
      </c>
      <c r="W228" s="160">
        <f>+W187*I180*365+W194*I182*365</f>
        <v>0.24525623120000001</v>
      </c>
      <c r="X228" s="160">
        <f>+X187*I180*365+X194*I182*365</f>
        <v>0.24098576039999997</v>
      </c>
      <c r="Y228" s="160">
        <f>+Y187*I180*365+Y194*I182*365</f>
        <v>0.23656286559999998</v>
      </c>
      <c r="Z228" s="160">
        <f>+Z187*I180*365+Z194*I182*365</f>
        <v>0.2316729314</v>
      </c>
      <c r="AA228" s="160">
        <f>+AA187*I180*365+AA194*I182*365</f>
        <v>0.22692825260000005</v>
      </c>
      <c r="AB228" s="160">
        <f>+AB187*I180*365+AB194*I182*365</f>
        <v>0.22171653439999997</v>
      </c>
      <c r="AC228" s="160">
        <f>+AC187*I180*365+AC194*I182*365</f>
        <v>0.21635239220000002</v>
      </c>
      <c r="AD228" s="53">
        <f t="shared" si="117"/>
        <v>6.4777641349999993</v>
      </c>
    </row>
    <row r="229" spans="2:34" x14ac:dyDescent="0.15">
      <c r="B229" s="327"/>
      <c r="C229" s="321" t="s">
        <v>207</v>
      </c>
      <c r="D229" s="322"/>
      <c r="E229" s="161">
        <f>+E189*I180*365+E196*I181*365</f>
        <v>0.28454596999999998</v>
      </c>
      <c r="F229" s="161">
        <f>+F189*I180*365+F196*I181*365</f>
        <v>0.28374997800000001</v>
      </c>
      <c r="G229" s="161">
        <f>+G189*I180*365+G196*I181*365</f>
        <v>0.28280156200000001</v>
      </c>
      <c r="H229" s="161">
        <f>+H189*I180*365+H196*I181*365</f>
        <v>0.28170072199999996</v>
      </c>
      <c r="I229" s="161">
        <f>+I189*I180*365+I196*I181*365</f>
        <v>0.28043052200000002</v>
      </c>
      <c r="J229" s="161">
        <f>+J189*I180*365+J196*I182*365</f>
        <v>0.237224669</v>
      </c>
      <c r="K229" s="161">
        <f>+K189*I180*365+K196*I182*365</f>
        <v>0.23564962099999998</v>
      </c>
      <c r="L229" s="161">
        <f>+L189*I180*365+L196*I182*365</f>
        <v>0.23387091760000001</v>
      </c>
      <c r="M229" s="161">
        <f>+M189*I180*365+M196*I182*365</f>
        <v>0.2319397902</v>
      </c>
      <c r="N229" s="161">
        <f>+N189*I180*365+N196*I182*365</f>
        <v>0.22985623880000003</v>
      </c>
      <c r="O229" s="161">
        <f>+O189*I180*365+O196*I182*365</f>
        <v>0.2276033274</v>
      </c>
      <c r="P229" s="161">
        <f>+P189*I180*365+P196*I182*365</f>
        <v>0.22519799199999999</v>
      </c>
      <c r="Q229" s="161">
        <f>+Q189*I180*365+Q196*I182*365</f>
        <v>0.22264023259999999</v>
      </c>
      <c r="R229" s="161">
        <f>+R189*I180*365+R196*I182*365</f>
        <v>0.21987881780000001</v>
      </c>
      <c r="S229" s="161">
        <f>+S189*I180*365+S196*I182*365</f>
        <v>0.21699927440000003</v>
      </c>
      <c r="T229" s="161">
        <f>+T189*I180*365+T196*I182*365</f>
        <v>0.2139330116</v>
      </c>
      <c r="U229" s="161">
        <f>+U189*I180*365+U196*I182*365</f>
        <v>0.21069738880000002</v>
      </c>
      <c r="V229" s="161">
        <f>+V189*I180*365+V196*I182*365</f>
        <v>0.20730934200000001</v>
      </c>
      <c r="W229" s="161">
        <f>+W189*I180*365+W196*I182*365</f>
        <v>0.20376887120000001</v>
      </c>
      <c r="X229" s="161">
        <f>+X189*I180*365+X196*I182*365</f>
        <v>0.2000590404</v>
      </c>
      <c r="Y229" s="161">
        <f>+Y189*I180*365+Y196*I182*365</f>
        <v>0.19619678559999995</v>
      </c>
      <c r="Z229" s="161">
        <f>+Z189*I180*365+Z196*I182*365</f>
        <v>0.19214781140000003</v>
      </c>
      <c r="AA229" s="161">
        <f>+AA189*I180*365+AA196*I182*365</f>
        <v>0.1879637726</v>
      </c>
      <c r="AB229" s="161">
        <f>+AB189*I180*365+AB196*I182*365</f>
        <v>0.1835930144</v>
      </c>
      <c r="AC229" s="161">
        <f>+AC189*I180*365+AC196*I182*365</f>
        <v>0.1790698322</v>
      </c>
      <c r="AD229" s="163">
        <f t="shared" si="117"/>
        <v>5.6688285050000005</v>
      </c>
    </row>
    <row r="230" spans="2:34" ht="13.5" customHeight="1" x14ac:dyDescent="0.15">
      <c r="B230" s="328" t="s">
        <v>243</v>
      </c>
      <c r="C230" s="317" t="s">
        <v>169</v>
      </c>
      <c r="D230" s="318"/>
      <c r="E230" s="43">
        <f>+E221+E224*25+E227*298</f>
        <v>920.89143905999981</v>
      </c>
      <c r="F230" s="43">
        <f t="shared" ref="F230:AC230" si="121">+F221+F224*25+F227*298</f>
        <v>920.2573192752476</v>
      </c>
      <c r="G230" s="43">
        <f t="shared" si="121"/>
        <v>919.50071605360813</v>
      </c>
      <c r="H230" s="43">
        <f t="shared" si="121"/>
        <v>918.62106496853903</v>
      </c>
      <c r="I230" s="43">
        <f t="shared" si="121"/>
        <v>917.60412910910009</v>
      </c>
      <c r="J230" s="43">
        <f t="shared" si="121"/>
        <v>888.93262695319254</v>
      </c>
      <c r="K230" s="43">
        <f t="shared" si="121"/>
        <v>887.66571885717599</v>
      </c>
      <c r="L230" s="43">
        <f t="shared" si="121"/>
        <v>885.27526542775854</v>
      </c>
      <c r="M230" s="43">
        <f t="shared" si="121"/>
        <v>882.7548007229849</v>
      </c>
      <c r="N230" s="43">
        <f t="shared" si="121"/>
        <v>880.1030386160769</v>
      </c>
      <c r="O230" s="43">
        <f t="shared" si="121"/>
        <v>877.30472840625077</v>
      </c>
      <c r="P230" s="43">
        <f t="shared" si="121"/>
        <v>703.0480286435793</v>
      </c>
      <c r="Q230" s="43">
        <f t="shared" si="121"/>
        <v>700.30736366144072</v>
      </c>
      <c r="R230" s="43">
        <f t="shared" si="121"/>
        <v>696.43969351782926</v>
      </c>
      <c r="S230" s="43">
        <f t="shared" si="121"/>
        <v>693.45368833993984</v>
      </c>
      <c r="T230" s="43">
        <f t="shared" si="121"/>
        <v>689.34173446204522</v>
      </c>
      <c r="U230" s="43">
        <f t="shared" si="121"/>
        <v>685.09047507564105</v>
      </c>
      <c r="V230" s="43">
        <f t="shared" si="121"/>
        <v>680.70967520074453</v>
      </c>
      <c r="W230" s="43">
        <f t="shared" si="121"/>
        <v>676.1970796551243</v>
      </c>
      <c r="X230" s="43">
        <f t="shared" si="121"/>
        <v>671.53807849158466</v>
      </c>
      <c r="Y230" s="43">
        <f t="shared" si="121"/>
        <v>666.74195236040475</v>
      </c>
      <c r="Z230" s="43">
        <f t="shared" si="121"/>
        <v>660.76191162145005</v>
      </c>
      <c r="AA230" s="43">
        <f t="shared" si="121"/>
        <v>655.66396295237723</v>
      </c>
      <c r="AB230" s="43">
        <f t="shared" si="121"/>
        <v>649.35985358927724</v>
      </c>
      <c r="AC230" s="43">
        <f t="shared" si="121"/>
        <v>642.88874249206413</v>
      </c>
      <c r="AD230" s="272">
        <f t="shared" si="110"/>
        <v>19370.453087513437</v>
      </c>
    </row>
    <row r="231" spans="2:34" x14ac:dyDescent="0.15">
      <c r="B231" s="329"/>
      <c r="C231" s="319" t="s">
        <v>189</v>
      </c>
      <c r="D231" s="320"/>
      <c r="E231" s="51">
        <f>+E222+E225*25+E228*298</f>
        <v>920.89143905999981</v>
      </c>
      <c r="F231" s="51">
        <f t="shared" ref="F231:AC231" si="122">+F222+F225*25+F228*298</f>
        <v>906.11961221524757</v>
      </c>
      <c r="G231" s="51">
        <f t="shared" si="122"/>
        <v>919.50071605360813</v>
      </c>
      <c r="H231" s="51">
        <f t="shared" si="122"/>
        <v>918.62106496853903</v>
      </c>
      <c r="I231" s="51">
        <f t="shared" si="122"/>
        <v>917.60412910910009</v>
      </c>
      <c r="J231" s="51">
        <f t="shared" si="122"/>
        <v>682.82805160169698</v>
      </c>
      <c r="K231" s="51">
        <f t="shared" si="122"/>
        <v>681.64324214081205</v>
      </c>
      <c r="L231" s="51">
        <f t="shared" si="122"/>
        <v>679.9986580684099</v>
      </c>
      <c r="M231" s="51">
        <f t="shared" si="122"/>
        <v>678.2344220716268</v>
      </c>
      <c r="N231" s="51">
        <f t="shared" si="122"/>
        <v>676.34948890414637</v>
      </c>
      <c r="O231" s="51">
        <f t="shared" si="122"/>
        <v>674.32980817991063</v>
      </c>
      <c r="P231" s="51">
        <f t="shared" si="122"/>
        <v>572.99799827507002</v>
      </c>
      <c r="Q231" s="51">
        <f t="shared" si="122"/>
        <v>570.90582642310142</v>
      </c>
      <c r="R231" s="51">
        <f t="shared" si="122"/>
        <v>568.36844857894914</v>
      </c>
      <c r="S231" s="51">
        <f t="shared" si="122"/>
        <v>566.03209297502883</v>
      </c>
      <c r="T231" s="51">
        <f t="shared" si="122"/>
        <v>563.25696258294977</v>
      </c>
      <c r="U231" s="51">
        <f t="shared" si="122"/>
        <v>560.34749017109073</v>
      </c>
      <c r="V231" s="51">
        <f t="shared" si="122"/>
        <v>557.31373495533501</v>
      </c>
      <c r="W231" s="51">
        <f t="shared" si="122"/>
        <v>554.15354877368407</v>
      </c>
      <c r="X231" s="51">
        <f t="shared" si="122"/>
        <v>550.85224076712871</v>
      </c>
      <c r="Y231" s="51">
        <f t="shared" si="122"/>
        <v>547.41944508009487</v>
      </c>
      <c r="Z231" s="51">
        <f t="shared" si="122"/>
        <v>543.51999439337055</v>
      </c>
      <c r="AA231" s="51">
        <f t="shared" si="122"/>
        <v>539.80071204366516</v>
      </c>
      <c r="AB231" s="51">
        <f t="shared" si="122"/>
        <v>535.60300341452989</v>
      </c>
      <c r="AC231" s="51">
        <f t="shared" si="122"/>
        <v>531.25502799403432</v>
      </c>
      <c r="AD231" s="273">
        <f t="shared" si="110"/>
        <v>16417.947158801126</v>
      </c>
    </row>
    <row r="232" spans="2:34" x14ac:dyDescent="0.15">
      <c r="B232" s="366"/>
      <c r="C232" s="321" t="s">
        <v>207</v>
      </c>
      <c r="D232" s="322"/>
      <c r="E232" s="45">
        <f>E223+E226*25+E229*298</f>
        <v>920.89143905999981</v>
      </c>
      <c r="F232" s="45">
        <f t="shared" ref="F232:AC232" si="123">F223+F226*25+F229*298</f>
        <v>920.2573192752476</v>
      </c>
      <c r="G232" s="45">
        <f t="shared" si="123"/>
        <v>919.50071605360813</v>
      </c>
      <c r="H232" s="45">
        <f t="shared" si="123"/>
        <v>918.62106496853903</v>
      </c>
      <c r="I232" s="45">
        <f t="shared" si="123"/>
        <v>917.60412910910009</v>
      </c>
      <c r="J232" s="45">
        <f t="shared" si="123"/>
        <v>659.38775967976028</v>
      </c>
      <c r="K232" s="45">
        <f t="shared" si="123"/>
        <v>658.29236510110684</v>
      </c>
      <c r="L232" s="45">
        <f t="shared" si="123"/>
        <v>656.6749936440491</v>
      </c>
      <c r="M232" s="45">
        <f t="shared" si="123"/>
        <v>655.11681519398462</v>
      </c>
      <c r="N232" s="45">
        <f t="shared" si="123"/>
        <v>653.238285482023</v>
      </c>
      <c r="O232" s="45">
        <f t="shared" si="123"/>
        <v>651.40507216491073</v>
      </c>
      <c r="P232" s="45">
        <f t="shared" si="123"/>
        <v>473.83405051810274</v>
      </c>
      <c r="Q232" s="45">
        <f t="shared" si="123"/>
        <v>471.90065404361695</v>
      </c>
      <c r="R232" s="45">
        <f t="shared" si="123"/>
        <v>469.80012145510926</v>
      </c>
      <c r="S232" s="45">
        <f t="shared" si="123"/>
        <v>467.75887408875201</v>
      </c>
      <c r="T232" s="45">
        <f t="shared" si="123"/>
        <v>465.42725182884612</v>
      </c>
      <c r="U232" s="45">
        <f t="shared" si="123"/>
        <v>462.96485637281404</v>
      </c>
      <c r="V232" s="45">
        <f t="shared" si="123"/>
        <v>460.38171718305404</v>
      </c>
      <c r="W232" s="45">
        <f t="shared" si="123"/>
        <v>457.67573355001076</v>
      </c>
      <c r="X232" s="45">
        <f t="shared" si="123"/>
        <v>454.8323297269024</v>
      </c>
      <c r="Y232" s="45">
        <f t="shared" si="123"/>
        <v>451.86106124004795</v>
      </c>
      <c r="Z232" s="45">
        <f t="shared" si="123"/>
        <v>448.5741161109143</v>
      </c>
      <c r="AA232" s="45">
        <f t="shared" si="123"/>
        <v>445.32421168604827</v>
      </c>
      <c r="AB232" s="45">
        <f t="shared" si="123"/>
        <v>441.90908492280909</v>
      </c>
      <c r="AC232" s="45">
        <f t="shared" si="123"/>
        <v>438.18990172796225</v>
      </c>
      <c r="AD232" s="274">
        <f t="shared" si="110"/>
        <v>14941.423924187317</v>
      </c>
    </row>
    <row r="233" spans="2:34" x14ac:dyDescent="0.15">
      <c r="F233" s="215"/>
      <c r="G233" s="119"/>
      <c r="H233" s="119"/>
      <c r="I233" s="120"/>
      <c r="J233" s="120"/>
      <c r="K233" s="120"/>
      <c r="L233" s="120"/>
      <c r="M233" s="120"/>
      <c r="N233" s="120"/>
      <c r="O233" s="120"/>
      <c r="P233" s="120"/>
      <c r="Q233" s="120"/>
      <c r="R233" s="120"/>
      <c r="S233" s="120"/>
      <c r="T233" s="120"/>
      <c r="U233" s="120"/>
      <c r="V233" s="120"/>
      <c r="W233" s="120"/>
      <c r="X233" s="120"/>
      <c r="Y233" s="120"/>
      <c r="Z233" s="120"/>
      <c r="AA233" s="120"/>
      <c r="AB233" s="120"/>
      <c r="AC233" s="120"/>
      <c r="AD233" s="120"/>
      <c r="AE233" s="120"/>
      <c r="AF233" s="120"/>
      <c r="AG233" s="120"/>
      <c r="AH233" s="235"/>
    </row>
  </sheetData>
  <mergeCells count="114">
    <mergeCell ref="J3:K3"/>
    <mergeCell ref="P3:Q3"/>
    <mergeCell ref="C90:AD90"/>
    <mergeCell ref="X3:Y3"/>
    <mergeCell ref="Z3:AA3"/>
    <mergeCell ref="G178:G179"/>
    <mergeCell ref="E3:E4"/>
    <mergeCell ref="E178:E179"/>
    <mergeCell ref="F3:F4"/>
    <mergeCell ref="H178:H179"/>
    <mergeCell ref="I178:I179"/>
    <mergeCell ref="V3:W3"/>
    <mergeCell ref="L3:L4"/>
    <mergeCell ref="M3:M4"/>
    <mergeCell ref="N3:N4"/>
    <mergeCell ref="O3:O4"/>
    <mergeCell ref="T3:T4"/>
    <mergeCell ref="U3:U4"/>
    <mergeCell ref="G3:I3"/>
    <mergeCell ref="B230:B232"/>
    <mergeCell ref="C12:C13"/>
    <mergeCell ref="C14:C15"/>
    <mergeCell ref="C16:C17"/>
    <mergeCell ref="C18:C19"/>
    <mergeCell ref="C20:C25"/>
    <mergeCell ref="C64:C66"/>
    <mergeCell ref="C67:C70"/>
    <mergeCell ref="C71:C73"/>
    <mergeCell ref="C75:C76"/>
    <mergeCell ref="C77:C78"/>
    <mergeCell ref="C79:C85"/>
    <mergeCell ref="C120:C122"/>
    <mergeCell ref="C123:C127"/>
    <mergeCell ref="C128:C129"/>
    <mergeCell ref="C130:C131"/>
    <mergeCell ref="C132:C139"/>
    <mergeCell ref="C185:C186"/>
    <mergeCell ref="C187:C188"/>
    <mergeCell ref="C230:D230"/>
    <mergeCell ref="C231:D231"/>
    <mergeCell ref="B184:C184"/>
    <mergeCell ref="B14:B15"/>
    <mergeCell ref="B16:B17"/>
    <mergeCell ref="C232:D232"/>
    <mergeCell ref="B130:B131"/>
    <mergeCell ref="B132:B133"/>
    <mergeCell ref="B134:B135"/>
    <mergeCell ref="B136:B137"/>
    <mergeCell ref="F178:F179"/>
    <mergeCell ref="A3:A4"/>
    <mergeCell ref="A56:A57"/>
    <mergeCell ref="A178:A179"/>
    <mergeCell ref="B3:B4"/>
    <mergeCell ref="B56:B57"/>
    <mergeCell ref="B178:B179"/>
    <mergeCell ref="C3:C4"/>
    <mergeCell ref="C56:C57"/>
    <mergeCell ref="D3:D4"/>
    <mergeCell ref="D56:D57"/>
    <mergeCell ref="C178:D178"/>
    <mergeCell ref="B64:B66"/>
    <mergeCell ref="B67:B73"/>
    <mergeCell ref="B75:B76"/>
    <mergeCell ref="B77:B78"/>
    <mergeCell ref="B79:B80"/>
    <mergeCell ref="C219:D219"/>
    <mergeCell ref="C220:D220"/>
    <mergeCell ref="B12:B13"/>
    <mergeCell ref="J65:AC65"/>
    <mergeCell ref="E66:I66"/>
    <mergeCell ref="C215:D215"/>
    <mergeCell ref="C216:D216"/>
    <mergeCell ref="C217:D217"/>
    <mergeCell ref="B185:B190"/>
    <mergeCell ref="B197:B202"/>
    <mergeCell ref="B203:B208"/>
    <mergeCell ref="B209:B214"/>
    <mergeCell ref="B215:B217"/>
    <mergeCell ref="C189:C190"/>
    <mergeCell ref="C197:C198"/>
    <mergeCell ref="C199:C200"/>
    <mergeCell ref="C201:C202"/>
    <mergeCell ref="B128:B129"/>
    <mergeCell ref="B120:B122"/>
    <mergeCell ref="B18:B19"/>
    <mergeCell ref="B20:B21"/>
    <mergeCell ref="B22:B23"/>
    <mergeCell ref="B123:B124"/>
    <mergeCell ref="B125:B127"/>
    <mergeCell ref="B191:B196"/>
    <mergeCell ref="C191:C192"/>
    <mergeCell ref="C224:D224"/>
    <mergeCell ref="C225:D225"/>
    <mergeCell ref="C226:D226"/>
    <mergeCell ref="C227:D227"/>
    <mergeCell ref="C229:D229"/>
    <mergeCell ref="C228:D228"/>
    <mergeCell ref="C223:D223"/>
    <mergeCell ref="B82:B83"/>
    <mergeCell ref="B224:B226"/>
    <mergeCell ref="B227:B229"/>
    <mergeCell ref="B218:B220"/>
    <mergeCell ref="B221:B223"/>
    <mergeCell ref="C218:D218"/>
    <mergeCell ref="C221:D221"/>
    <mergeCell ref="C222:D222"/>
    <mergeCell ref="C203:C204"/>
    <mergeCell ref="C205:C206"/>
    <mergeCell ref="C207:C208"/>
    <mergeCell ref="C209:C210"/>
    <mergeCell ref="C211:C212"/>
    <mergeCell ref="C213:C214"/>
    <mergeCell ref="C193:C194"/>
    <mergeCell ref="C195:C196"/>
  </mergeCells>
  <phoneticPr fontId="26"/>
  <pageMargins left="0.69930555555555596" right="0.69930555555555596" top="0.75" bottom="0.75" header="0.3" footer="0.3"/>
  <pageSetup paperSize="8" scale="55" orientation="landscape" r:id="rId1"/>
  <rowBreaks count="3" manualBreakCount="3">
    <brk id="54" max="35" man="1"/>
    <brk id="116" max="35" man="1"/>
    <brk id="176" max="35" man="1"/>
  </rowBreaks>
  <colBreaks count="1" manualBreakCount="1">
    <brk id="3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
  <sheetViews>
    <sheetView showGridLines="0" workbookViewId="0">
      <selection activeCell="I14" sqref="I14"/>
    </sheetView>
  </sheetViews>
  <sheetFormatPr defaultColWidth="9" defaultRowHeight="13.5" x14ac:dyDescent="0.15"/>
  <cols>
    <col min="2" max="2" width="5.25" customWidth="1"/>
    <col min="3" max="3" width="8.25" customWidth="1"/>
    <col min="4" max="4" width="4.625" customWidth="1"/>
    <col min="5" max="5" width="10.375" customWidth="1"/>
    <col min="6" max="7" width="10.875" customWidth="1"/>
    <col min="8" max="8" width="9" customWidth="1"/>
    <col min="9" max="9" width="15.25" customWidth="1"/>
    <col min="10" max="10" width="13.375" customWidth="1"/>
    <col min="11" max="11" width="11" customWidth="1"/>
  </cols>
  <sheetData>
    <row r="1" spans="2:12" ht="14.25" thickBot="1" x14ac:dyDescent="0.2">
      <c r="B1" s="208" t="s">
        <v>288</v>
      </c>
    </row>
    <row r="2" spans="2:12" ht="28.5" customHeight="1" x14ac:dyDescent="0.15">
      <c r="B2" s="381" t="s">
        <v>0</v>
      </c>
      <c r="C2" s="382"/>
      <c r="D2" s="387" t="s">
        <v>263</v>
      </c>
      <c r="E2" s="387"/>
      <c r="F2" s="387"/>
      <c r="G2" s="387"/>
      <c r="H2" s="388"/>
      <c r="I2" s="233" t="s">
        <v>292</v>
      </c>
      <c r="J2" s="379" t="s">
        <v>264</v>
      </c>
    </row>
    <row r="3" spans="2:12" x14ac:dyDescent="0.15">
      <c r="B3" s="383"/>
      <c r="C3" s="384"/>
      <c r="D3" s="388" t="s">
        <v>265</v>
      </c>
      <c r="E3" s="389"/>
      <c r="F3" s="389"/>
      <c r="G3" s="389"/>
      <c r="H3" s="389"/>
      <c r="I3" s="69" t="s">
        <v>266</v>
      </c>
      <c r="J3" s="380"/>
      <c r="L3" s="118"/>
    </row>
    <row r="4" spans="2:12" ht="47.25" x14ac:dyDescent="0.15">
      <c r="B4" s="385"/>
      <c r="C4" s="386"/>
      <c r="D4" s="390" t="s">
        <v>267</v>
      </c>
      <c r="E4" s="391"/>
      <c r="F4" s="55" t="s">
        <v>268</v>
      </c>
      <c r="G4" s="55" t="s">
        <v>269</v>
      </c>
      <c r="H4" s="70" t="s">
        <v>270</v>
      </c>
      <c r="I4" s="71" t="s">
        <v>271</v>
      </c>
      <c r="J4" s="54" t="s">
        <v>293</v>
      </c>
    </row>
    <row r="5" spans="2:12" ht="15.75" customHeight="1" x14ac:dyDescent="0.15">
      <c r="B5" s="372" t="s">
        <v>272</v>
      </c>
      <c r="C5" s="56" t="s">
        <v>273</v>
      </c>
      <c r="D5" s="377" t="s">
        <v>57</v>
      </c>
      <c r="E5" s="378"/>
      <c r="F5" s="57">
        <v>0.01</v>
      </c>
      <c r="G5" s="57">
        <v>1.4999999999999999E-2</v>
      </c>
      <c r="H5" s="72">
        <v>200</v>
      </c>
      <c r="I5" s="73">
        <f>ROUND(('経済性比較、エネルギー、GHG'!J70*180/1000000*95/100*100/100)/(1/100),0)</f>
        <v>81</v>
      </c>
      <c r="J5" s="74" t="s">
        <v>274</v>
      </c>
    </row>
    <row r="6" spans="2:12" ht="15.75" customHeight="1" thickBot="1" x14ac:dyDescent="0.2">
      <c r="B6" s="373"/>
      <c r="C6" s="58" t="s">
        <v>276</v>
      </c>
      <c r="D6" s="59">
        <v>10</v>
      </c>
      <c r="E6" s="60" t="s">
        <v>275</v>
      </c>
      <c r="F6" s="61">
        <v>0.01</v>
      </c>
      <c r="G6" s="75">
        <v>1.0999999999999999E-2</v>
      </c>
      <c r="H6" s="76">
        <v>150</v>
      </c>
      <c r="I6" s="77">
        <f>I5*G6/G5</f>
        <v>59.4</v>
      </c>
      <c r="J6" s="78" t="s">
        <v>274</v>
      </c>
    </row>
    <row r="7" spans="2:12" ht="15" thickTop="1" thickBot="1" x14ac:dyDescent="0.2">
      <c r="B7" s="374" t="s">
        <v>277</v>
      </c>
      <c r="C7" s="375"/>
      <c r="D7" s="375"/>
      <c r="E7" s="375"/>
      <c r="F7" s="375"/>
      <c r="G7" s="376"/>
      <c r="H7" s="79">
        <v>9000</v>
      </c>
      <c r="I7" s="80">
        <f>ROUND(4759/0.7,-2)</f>
        <v>6800</v>
      </c>
      <c r="J7" s="81" t="s">
        <v>57</v>
      </c>
    </row>
    <row r="8" spans="2:12" x14ac:dyDescent="0.15">
      <c r="B8" s="62" t="s">
        <v>278</v>
      </c>
      <c r="C8" s="63"/>
    </row>
    <row r="9" spans="2:12" x14ac:dyDescent="0.15">
      <c r="B9" s="62" t="s">
        <v>279</v>
      </c>
      <c r="C9" s="63"/>
      <c r="D9" s="64"/>
      <c r="E9" s="65"/>
      <c r="F9" s="66"/>
      <c r="G9" s="67"/>
      <c r="H9" s="67"/>
      <c r="I9" s="82"/>
      <c r="J9" s="83"/>
    </row>
  </sheetData>
  <mergeCells count="8">
    <mergeCell ref="B5:B6"/>
    <mergeCell ref="B7:G7"/>
    <mergeCell ref="D5:E5"/>
    <mergeCell ref="J2:J3"/>
    <mergeCell ref="B2:C4"/>
    <mergeCell ref="D2:H2"/>
    <mergeCell ref="D3:H3"/>
    <mergeCell ref="D4:E4"/>
  </mergeCells>
  <phoneticPr fontId="26"/>
  <pageMargins left="0.69930555555555596" right="0.69930555555555596"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election activeCell="F31" sqref="F31"/>
    </sheetView>
  </sheetViews>
  <sheetFormatPr defaultColWidth="9" defaultRowHeight="13.5" x14ac:dyDescent="0.15"/>
  <cols>
    <col min="2" max="2" width="27.25" customWidth="1"/>
    <col min="9" max="9" width="16.25" customWidth="1"/>
  </cols>
  <sheetData>
    <row r="1" spans="1:11" x14ac:dyDescent="0.15">
      <c r="B1" s="208" t="s">
        <v>290</v>
      </c>
    </row>
    <row r="2" spans="1:11" x14ac:dyDescent="0.15">
      <c r="B2" s="282" t="s">
        <v>0</v>
      </c>
      <c r="C2" s="282" t="s">
        <v>137</v>
      </c>
      <c r="D2" s="282"/>
      <c r="E2" s="282"/>
      <c r="F2" s="361" t="s">
        <v>244</v>
      </c>
      <c r="G2" s="361"/>
      <c r="H2" s="361"/>
      <c r="I2" s="360" t="s">
        <v>48</v>
      </c>
    </row>
    <row r="3" spans="1:11" ht="29.25" x14ac:dyDescent="0.15">
      <c r="B3" s="282"/>
      <c r="C3" s="36" t="s">
        <v>245</v>
      </c>
      <c r="D3" s="36" t="s">
        <v>246</v>
      </c>
      <c r="E3" s="36" t="s">
        <v>247</v>
      </c>
      <c r="F3" s="84" t="s">
        <v>245</v>
      </c>
      <c r="G3" s="84" t="s">
        <v>246</v>
      </c>
      <c r="H3" s="84" t="s">
        <v>247</v>
      </c>
      <c r="I3" s="360"/>
    </row>
    <row r="4" spans="1:11" x14ac:dyDescent="0.15">
      <c r="B4" s="85" t="s">
        <v>248</v>
      </c>
      <c r="C4" s="21">
        <v>210</v>
      </c>
      <c r="D4" s="21">
        <f>+ROUND('経済性比較、エネルギー、GHG'!J123/0.7,-2)</f>
        <v>5700</v>
      </c>
      <c r="E4" s="21">
        <f t="shared" ref="E4:E8" si="0">+ROUND(C4*D4/1000,0)</f>
        <v>1197</v>
      </c>
      <c r="F4" s="49">
        <v>40</v>
      </c>
      <c r="G4" s="49">
        <f>+ROUND('経済性比較、エネルギー、GHG'!M123/0.7,-2)</f>
        <v>5500</v>
      </c>
      <c r="H4" s="49">
        <f>+ROUND(F4*G4/1000,0)</f>
        <v>220</v>
      </c>
      <c r="I4" s="92" t="s">
        <v>249</v>
      </c>
    </row>
    <row r="5" spans="1:11" x14ac:dyDescent="0.15">
      <c r="B5" s="85" t="s">
        <v>250</v>
      </c>
      <c r="C5" s="21">
        <f>+E5/D5*1000</f>
        <v>219.97230875735548</v>
      </c>
      <c r="D5" s="21">
        <f>+D4+D7</f>
        <v>5778</v>
      </c>
      <c r="E5" s="21">
        <f t="shared" ref="E5:H5" si="1">+E4+E7</f>
        <v>1271</v>
      </c>
      <c r="F5" s="49">
        <f>+H5/G5*1000</f>
        <v>41.950519899605588</v>
      </c>
      <c r="G5" s="49">
        <f t="shared" si="1"/>
        <v>5578</v>
      </c>
      <c r="H5" s="49">
        <f t="shared" si="1"/>
        <v>234</v>
      </c>
      <c r="I5" s="92" t="s">
        <v>54</v>
      </c>
    </row>
    <row r="6" spans="1:11" x14ac:dyDescent="0.15">
      <c r="B6" s="85"/>
      <c r="C6" s="21"/>
      <c r="D6" s="21"/>
      <c r="E6" s="21"/>
      <c r="F6" s="49"/>
      <c r="G6" s="49"/>
      <c r="H6" s="49"/>
      <c r="I6" s="92"/>
    </row>
    <row r="7" spans="1:11" x14ac:dyDescent="0.15">
      <c r="A7" s="24"/>
      <c r="B7" s="86" t="s">
        <v>251</v>
      </c>
      <c r="C7" s="21">
        <v>950</v>
      </c>
      <c r="D7" s="21">
        <f>+ROUND('経済性比較、エネルギー、GHG'!J125/0.7*0.8,0)</f>
        <v>78</v>
      </c>
      <c r="E7" s="21">
        <f t="shared" si="0"/>
        <v>74</v>
      </c>
      <c r="F7" s="49">
        <f>+ROUND(F4*C7/C4,-1)</f>
        <v>180</v>
      </c>
      <c r="G7" s="49">
        <f>+ROUND('経済性比較、エネルギー、GHG'!J125/0.7*0.8,0)</f>
        <v>78</v>
      </c>
      <c r="H7" s="49">
        <f>+ROUND(F7*G7/1000,0)</f>
        <v>14</v>
      </c>
      <c r="I7" s="92" t="s">
        <v>249</v>
      </c>
    </row>
    <row r="8" spans="1:11" x14ac:dyDescent="0.15">
      <c r="B8" s="216" t="s">
        <v>289</v>
      </c>
      <c r="C8" s="21">
        <v>5000</v>
      </c>
      <c r="D8" s="21">
        <f>+ROUND('経済性比較、エネルギー、GHG'!J126/0.7*0.8,0)</f>
        <v>19</v>
      </c>
      <c r="E8" s="21">
        <f t="shared" si="0"/>
        <v>95</v>
      </c>
      <c r="F8" s="21">
        <v>2000</v>
      </c>
      <c r="G8" s="49">
        <f>+ROUND('経済性比較、エネルギー、GHG'!M126/0.7*0.8,0)</f>
        <v>19</v>
      </c>
      <c r="H8" s="49">
        <f t="shared" ref="H8" si="2">+ROUND(F8*G8/1000,0)</f>
        <v>38</v>
      </c>
      <c r="I8" s="92"/>
    </row>
    <row r="9" spans="1:11" x14ac:dyDescent="0.15">
      <c r="B9" s="85" t="s">
        <v>252</v>
      </c>
      <c r="C9" s="21">
        <f>+E9/D9*1000</f>
        <v>1742.2680412371135</v>
      </c>
      <c r="D9" s="21">
        <f>++D8+D7</f>
        <v>97</v>
      </c>
      <c r="E9" s="21">
        <f>+E7+E8</f>
        <v>169</v>
      </c>
      <c r="F9" s="21">
        <f>+H9/G9*1000</f>
        <v>536.08247422680415</v>
      </c>
      <c r="G9" s="49">
        <f>++G8+G7</f>
        <v>97</v>
      </c>
      <c r="H9" s="21">
        <f>+H7+H8</f>
        <v>52</v>
      </c>
      <c r="I9" s="92"/>
    </row>
    <row r="10" spans="1:11" x14ac:dyDescent="0.15">
      <c r="B10" s="85"/>
      <c r="C10" s="21"/>
      <c r="D10" s="21"/>
      <c r="E10" s="21"/>
      <c r="F10" s="49"/>
      <c r="G10" s="49"/>
      <c r="H10" s="49"/>
      <c r="I10" s="92"/>
    </row>
    <row r="11" spans="1:11" x14ac:dyDescent="0.15">
      <c r="B11" s="85" t="s">
        <v>253</v>
      </c>
      <c r="C11" s="21">
        <f>+E11/D11*1000</f>
        <v>235.63912368466447</v>
      </c>
      <c r="D11" s="21">
        <f>+D4+D9</f>
        <v>5797</v>
      </c>
      <c r="E11" s="21">
        <f>+E9+E4</f>
        <v>1366</v>
      </c>
      <c r="F11" s="49">
        <f>+H11/G11*1000</f>
        <v>48.5974629265678</v>
      </c>
      <c r="G11" s="49">
        <f>+G4+G9</f>
        <v>5597</v>
      </c>
      <c r="H11" s="49">
        <f>+H9+H4</f>
        <v>272</v>
      </c>
      <c r="I11" s="92"/>
    </row>
    <row r="12" spans="1:11" x14ac:dyDescent="0.15">
      <c r="B12" s="87" t="s">
        <v>254</v>
      </c>
      <c r="C12" s="88"/>
      <c r="D12" s="88">
        <f t="shared" ref="D12:H12" si="3">+D11-D5</f>
        <v>19</v>
      </c>
      <c r="E12" s="88">
        <f>+E11-E5</f>
        <v>95</v>
      </c>
      <c r="F12" s="89"/>
      <c r="G12" s="89">
        <f t="shared" si="3"/>
        <v>19</v>
      </c>
      <c r="H12" s="89">
        <f t="shared" si="3"/>
        <v>38</v>
      </c>
      <c r="I12" s="93"/>
    </row>
    <row r="14" spans="1:11" x14ac:dyDescent="0.15">
      <c r="B14" s="90" t="s">
        <v>255</v>
      </c>
      <c r="C14" s="392" t="s">
        <v>256</v>
      </c>
      <c r="D14" s="393"/>
      <c r="E14" s="91">
        <f>+E12</f>
        <v>95</v>
      </c>
      <c r="F14" s="394" t="s">
        <v>257</v>
      </c>
      <c r="G14" s="395"/>
      <c r="H14" s="91">
        <f>+H12</f>
        <v>38</v>
      </c>
      <c r="I14" s="203" t="s">
        <v>258</v>
      </c>
      <c r="J14" s="94">
        <f>2.46*(0.6*E12+4.57*H12)*0.01</f>
        <v>5.6742360000000005</v>
      </c>
      <c r="K14" t="s">
        <v>259</v>
      </c>
    </row>
    <row r="15" spans="1:11" x14ac:dyDescent="0.15">
      <c r="B15" s="90" t="s">
        <v>260</v>
      </c>
      <c r="C15" s="392" t="s">
        <v>261</v>
      </c>
      <c r="D15" s="393"/>
      <c r="E15" s="91">
        <f>+E12</f>
        <v>95</v>
      </c>
      <c r="F15" s="394" t="s">
        <v>257</v>
      </c>
      <c r="G15" s="395"/>
      <c r="H15" s="91">
        <f>+H12</f>
        <v>38</v>
      </c>
      <c r="I15" s="203" t="s">
        <v>258</v>
      </c>
      <c r="J15" s="94">
        <f>2.83*(0.6*E12+4.57*H12)*0.01</f>
        <v>6.5276780000000008</v>
      </c>
      <c r="K15" t="s">
        <v>262</v>
      </c>
    </row>
  </sheetData>
  <mergeCells count="8">
    <mergeCell ref="C15:D15"/>
    <mergeCell ref="F15:G15"/>
    <mergeCell ref="B2:B3"/>
    <mergeCell ref="I2:I3"/>
    <mergeCell ref="C2:E2"/>
    <mergeCell ref="F2:H2"/>
    <mergeCell ref="C14:D14"/>
    <mergeCell ref="F14:G14"/>
  </mergeCells>
  <phoneticPr fontId="26"/>
  <pageMargins left="0.69930555555555596" right="0.69930555555555596"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C4"/>
  <sheetViews>
    <sheetView showGridLines="0" zoomScale="70" zoomScaleNormal="70" workbookViewId="0">
      <selection activeCell="U22" sqref="U22"/>
    </sheetView>
  </sheetViews>
  <sheetFormatPr defaultColWidth="9" defaultRowHeight="13.5" outlineLevelCol="1" x14ac:dyDescent="0.15"/>
  <cols>
    <col min="2" max="2" width="4" customWidth="1"/>
    <col min="3" max="3" width="4.5" customWidth="1"/>
    <col min="4" max="4" width="20.75" customWidth="1"/>
    <col min="5" max="16" width="7.125" customWidth="1" outlineLevel="1"/>
    <col min="17" max="29" width="7.125" customWidth="1"/>
  </cols>
  <sheetData>
    <row r="1" spans="3:29" x14ac:dyDescent="0.15">
      <c r="G1">
        <v>20</v>
      </c>
      <c r="H1">
        <f>G1+20</f>
        <v>40</v>
      </c>
      <c r="I1">
        <f t="shared" ref="I1:AC1" si="0">H1+20</f>
        <v>60</v>
      </c>
      <c r="J1">
        <f t="shared" si="0"/>
        <v>80</v>
      </c>
      <c r="K1">
        <f t="shared" si="0"/>
        <v>100</v>
      </c>
      <c r="L1">
        <f t="shared" si="0"/>
        <v>120</v>
      </c>
      <c r="M1">
        <f t="shared" si="0"/>
        <v>140</v>
      </c>
      <c r="N1">
        <f t="shared" si="0"/>
        <v>160</v>
      </c>
      <c r="O1">
        <f t="shared" si="0"/>
        <v>180</v>
      </c>
      <c r="P1">
        <f t="shared" si="0"/>
        <v>200</v>
      </c>
      <c r="Q1">
        <f t="shared" si="0"/>
        <v>220</v>
      </c>
      <c r="R1">
        <f t="shared" si="0"/>
        <v>240</v>
      </c>
      <c r="S1">
        <f t="shared" si="0"/>
        <v>260</v>
      </c>
      <c r="T1">
        <f t="shared" si="0"/>
        <v>280</v>
      </c>
      <c r="U1">
        <f t="shared" si="0"/>
        <v>300</v>
      </c>
      <c r="V1">
        <f t="shared" si="0"/>
        <v>320</v>
      </c>
      <c r="W1">
        <f t="shared" si="0"/>
        <v>340</v>
      </c>
      <c r="X1">
        <f t="shared" si="0"/>
        <v>360</v>
      </c>
      <c r="Y1">
        <f t="shared" si="0"/>
        <v>380</v>
      </c>
      <c r="Z1">
        <f t="shared" si="0"/>
        <v>400</v>
      </c>
      <c r="AA1">
        <f t="shared" si="0"/>
        <v>420</v>
      </c>
      <c r="AB1">
        <f t="shared" si="0"/>
        <v>440</v>
      </c>
      <c r="AC1">
        <f t="shared" si="0"/>
        <v>460</v>
      </c>
    </row>
    <row r="2" spans="3:29" ht="20.100000000000001" customHeight="1" x14ac:dyDescent="0.15">
      <c r="C2" s="200"/>
      <c r="D2" s="1" t="s">
        <v>11</v>
      </c>
      <c r="E2" s="201" t="s">
        <v>12</v>
      </c>
      <c r="F2" s="201" t="s">
        <v>13</v>
      </c>
      <c r="G2" s="201" t="s">
        <v>14</v>
      </c>
      <c r="H2" s="201" t="s">
        <v>15</v>
      </c>
      <c r="I2" s="201" t="s">
        <v>16</v>
      </c>
      <c r="J2" s="201" t="s">
        <v>17</v>
      </c>
      <c r="K2" s="201" t="s">
        <v>18</v>
      </c>
      <c r="L2" s="201" t="s">
        <v>19</v>
      </c>
      <c r="M2" s="201" t="s">
        <v>20</v>
      </c>
      <c r="N2" s="201" t="s">
        <v>21</v>
      </c>
      <c r="O2" s="201" t="s">
        <v>22</v>
      </c>
      <c r="P2" s="201" t="s">
        <v>23</v>
      </c>
      <c r="Q2" s="201" t="s">
        <v>24</v>
      </c>
      <c r="R2" s="201" t="s">
        <v>25</v>
      </c>
      <c r="S2" s="201" t="s">
        <v>26</v>
      </c>
      <c r="T2" s="201" t="s">
        <v>27</v>
      </c>
      <c r="U2" s="201" t="s">
        <v>28</v>
      </c>
      <c r="V2" s="201" t="s">
        <v>29</v>
      </c>
      <c r="W2" s="201" t="s">
        <v>30</v>
      </c>
      <c r="X2" s="201" t="s">
        <v>31</v>
      </c>
      <c r="Y2" s="201" t="s">
        <v>32</v>
      </c>
      <c r="Z2" s="201" t="s">
        <v>33</v>
      </c>
      <c r="AA2" s="201" t="s">
        <v>34</v>
      </c>
      <c r="AB2" s="201" t="s">
        <v>35</v>
      </c>
      <c r="AC2" s="201" t="s">
        <v>36</v>
      </c>
    </row>
    <row r="3" spans="3:29" ht="7.5" hidden="1" customHeight="1" x14ac:dyDescent="0.15">
      <c r="C3" s="200"/>
      <c r="D3" s="14" t="s">
        <v>5</v>
      </c>
      <c r="E3" s="20">
        <v>21000</v>
      </c>
      <c r="F3" s="40">
        <v>20930</v>
      </c>
      <c r="G3" s="40">
        <v>20846</v>
      </c>
      <c r="H3" s="40">
        <v>20748</v>
      </c>
      <c r="I3" s="40">
        <v>20636</v>
      </c>
      <c r="J3" s="40">
        <v>20510</v>
      </c>
      <c r="K3" s="40">
        <v>20370</v>
      </c>
      <c r="L3" s="40">
        <v>20216</v>
      </c>
      <c r="M3" s="40">
        <v>20048</v>
      </c>
      <c r="N3" s="40">
        <v>19866</v>
      </c>
      <c r="O3" s="40">
        <v>19670</v>
      </c>
      <c r="P3" s="40">
        <v>19460</v>
      </c>
      <c r="Q3" s="40">
        <v>19236</v>
      </c>
      <c r="R3" s="40">
        <v>18998</v>
      </c>
      <c r="S3" s="40">
        <v>18746</v>
      </c>
      <c r="T3" s="40">
        <v>18480</v>
      </c>
      <c r="U3" s="40">
        <v>18200</v>
      </c>
      <c r="V3" s="40">
        <v>17906</v>
      </c>
      <c r="W3" s="40">
        <v>17598</v>
      </c>
      <c r="X3" s="40">
        <v>17276</v>
      </c>
      <c r="Y3" s="40">
        <v>16940</v>
      </c>
      <c r="Z3" s="40">
        <v>16590</v>
      </c>
      <c r="AA3" s="40">
        <v>16226</v>
      </c>
      <c r="AB3" s="40">
        <v>15848</v>
      </c>
      <c r="AC3" s="40">
        <v>15456</v>
      </c>
    </row>
    <row r="4" spans="3:29" ht="20.100000000000001" customHeight="1" x14ac:dyDescent="0.15">
      <c r="C4" s="200"/>
      <c r="D4" s="14" t="s">
        <v>5</v>
      </c>
      <c r="E4" s="20">
        <v>21500</v>
      </c>
      <c r="F4" s="40">
        <f>+E4*F3/E3</f>
        <v>21428.333333333332</v>
      </c>
      <c r="G4" s="40">
        <f t="shared" ref="G4:AC4" si="1">+F4*G3/F3</f>
        <v>21342.333333333332</v>
      </c>
      <c r="H4" s="40">
        <f t="shared" si="1"/>
        <v>21242</v>
      </c>
      <c r="I4" s="40">
        <f t="shared" si="1"/>
        <v>21127.333333333332</v>
      </c>
      <c r="J4" s="40">
        <f t="shared" si="1"/>
        <v>20998.333333333332</v>
      </c>
      <c r="K4" s="40">
        <f t="shared" si="1"/>
        <v>20855</v>
      </c>
      <c r="L4" s="40">
        <f t="shared" si="1"/>
        <v>20697.333333333332</v>
      </c>
      <c r="M4" s="40">
        <f t="shared" si="1"/>
        <v>20525.333333333332</v>
      </c>
      <c r="N4" s="40">
        <f t="shared" si="1"/>
        <v>20339</v>
      </c>
      <c r="O4" s="40">
        <f t="shared" si="1"/>
        <v>20138.333333333332</v>
      </c>
      <c r="P4" s="40">
        <f t="shared" si="1"/>
        <v>19923.333333333332</v>
      </c>
      <c r="Q4" s="40">
        <f t="shared" si="1"/>
        <v>19694</v>
      </c>
      <c r="R4" s="40">
        <f t="shared" si="1"/>
        <v>19450.333333333332</v>
      </c>
      <c r="S4" s="40">
        <f t="shared" si="1"/>
        <v>19192.333333333332</v>
      </c>
      <c r="T4" s="40">
        <f t="shared" si="1"/>
        <v>18920</v>
      </c>
      <c r="U4" s="40">
        <f t="shared" si="1"/>
        <v>18633.333333333332</v>
      </c>
      <c r="V4" s="40">
        <f t="shared" si="1"/>
        <v>18332.333333333332</v>
      </c>
      <c r="W4" s="40">
        <f t="shared" si="1"/>
        <v>18017</v>
      </c>
      <c r="X4" s="40">
        <f t="shared" si="1"/>
        <v>17687.333333333332</v>
      </c>
      <c r="Y4" s="40">
        <f t="shared" si="1"/>
        <v>17343.333333333332</v>
      </c>
      <c r="Z4" s="40">
        <f t="shared" si="1"/>
        <v>16985</v>
      </c>
      <c r="AA4" s="40">
        <f t="shared" si="1"/>
        <v>16612.333333333332</v>
      </c>
      <c r="AB4" s="40">
        <f t="shared" si="1"/>
        <v>16225.333333333332</v>
      </c>
      <c r="AC4" s="40">
        <f t="shared" si="1"/>
        <v>15823.999999999998</v>
      </c>
    </row>
  </sheetData>
  <phoneticPr fontId="26"/>
  <pageMargins left="0.69930555555555596" right="0.69930555555555596" top="0.75" bottom="0.75" header="0.3" footer="0.3"/>
  <ignoredErrors>
    <ignoredError sqref="F2:AC2"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9"/>
  <sheetViews>
    <sheetView showGridLines="0" zoomScale="85" zoomScaleNormal="85" workbookViewId="0">
      <selection activeCell="D24" sqref="D24"/>
    </sheetView>
  </sheetViews>
  <sheetFormatPr defaultColWidth="9" defaultRowHeight="13.5" outlineLevelCol="1" x14ac:dyDescent="0.15"/>
  <cols>
    <col min="2" max="2" width="3.375" customWidth="1"/>
    <col min="3" max="3" width="4.125" customWidth="1"/>
    <col min="4" max="4" width="19.5" customWidth="1"/>
    <col min="5" max="16" width="9" customWidth="1" outlineLevel="1"/>
  </cols>
  <sheetData>
    <row r="2" spans="2:29" x14ac:dyDescent="0.15">
      <c r="B2" s="278" t="s">
        <v>0</v>
      </c>
      <c r="C2" s="278"/>
      <c r="D2" s="278"/>
      <c r="E2" s="2" t="s">
        <v>37</v>
      </c>
      <c r="F2" s="1" t="s">
        <v>38</v>
      </c>
    </row>
    <row r="3" spans="2:29" x14ac:dyDescent="0.15">
      <c r="B3" s="279" t="s">
        <v>5</v>
      </c>
      <c r="C3" s="280"/>
      <c r="D3" s="281"/>
      <c r="E3" s="20">
        <f>行政人口の見通し!E4</f>
        <v>21500</v>
      </c>
      <c r="F3" s="152">
        <f>E3/$E$3</f>
        <v>1</v>
      </c>
    </row>
    <row r="4" spans="2:29" x14ac:dyDescent="0.15">
      <c r="B4" s="171"/>
      <c r="C4" s="151" t="s">
        <v>39</v>
      </c>
      <c r="D4" s="4"/>
      <c r="E4" s="21">
        <f>E5</f>
        <v>14000</v>
      </c>
      <c r="F4" s="152">
        <f t="shared" ref="F4:F9" si="0">E4/$E$3</f>
        <v>0.65116279069767447</v>
      </c>
    </row>
    <row r="5" spans="2:29" ht="15" customHeight="1" x14ac:dyDescent="0.15">
      <c r="B5" s="171"/>
      <c r="C5" s="171"/>
      <c r="D5" s="4" t="s">
        <v>40</v>
      </c>
      <c r="E5" s="21">
        <v>14000</v>
      </c>
      <c r="F5" s="152">
        <f t="shared" si="0"/>
        <v>0.65116279069767447</v>
      </c>
    </row>
    <row r="6" spans="2:29" ht="15" customHeight="1" x14ac:dyDescent="0.15">
      <c r="B6" s="171"/>
      <c r="C6" s="172" t="s">
        <v>41</v>
      </c>
      <c r="D6" s="5"/>
      <c r="E6" s="49">
        <v>7500</v>
      </c>
      <c r="F6" s="153">
        <f t="shared" si="0"/>
        <v>0.34883720930232559</v>
      </c>
    </row>
    <row r="7" spans="2:29" x14ac:dyDescent="0.15">
      <c r="B7" s="171"/>
      <c r="C7" s="198"/>
      <c r="D7" s="5" t="s">
        <v>42</v>
      </c>
      <c r="E7" s="49">
        <v>4000</v>
      </c>
      <c r="F7" s="153">
        <f t="shared" si="0"/>
        <v>0.18604651162790697</v>
      </c>
    </row>
    <row r="8" spans="2:29" x14ac:dyDescent="0.15">
      <c r="B8" s="171"/>
      <c r="C8" s="198"/>
      <c r="D8" s="5" t="s">
        <v>43</v>
      </c>
      <c r="E8" s="49">
        <v>1500</v>
      </c>
      <c r="F8" s="153">
        <f t="shared" si="0"/>
        <v>6.9767441860465115E-2</v>
      </c>
    </row>
    <row r="9" spans="2:29" x14ac:dyDescent="0.15">
      <c r="B9" s="3"/>
      <c r="C9" s="6"/>
      <c r="D9" s="5" t="s">
        <v>44</v>
      </c>
      <c r="E9" s="42">
        <f>E6-E7-E8</f>
        <v>2000</v>
      </c>
      <c r="F9" s="153">
        <f t="shared" si="0"/>
        <v>9.3023255813953487E-2</v>
      </c>
    </row>
    <row r="10" spans="2:29" x14ac:dyDescent="0.15">
      <c r="F10">
        <v>3.0000000000000001E-3</v>
      </c>
      <c r="G10">
        <f>F10+0.003</f>
        <v>6.0000000000000001E-3</v>
      </c>
      <c r="H10">
        <f t="shared" ref="H10:AC10" si="1">G10+0.003</f>
        <v>9.0000000000000011E-3</v>
      </c>
      <c r="I10">
        <f t="shared" si="1"/>
        <v>1.2E-2</v>
      </c>
      <c r="J10">
        <f t="shared" si="1"/>
        <v>1.4999999999999999E-2</v>
      </c>
      <c r="K10">
        <f t="shared" si="1"/>
        <v>1.7999999999999999E-2</v>
      </c>
      <c r="L10">
        <f t="shared" si="1"/>
        <v>2.0999999999999998E-2</v>
      </c>
      <c r="M10">
        <f t="shared" si="1"/>
        <v>2.3999999999999997E-2</v>
      </c>
      <c r="N10">
        <f t="shared" si="1"/>
        <v>2.6999999999999996E-2</v>
      </c>
      <c r="O10">
        <f t="shared" si="1"/>
        <v>2.9999999999999995E-2</v>
      </c>
      <c r="P10">
        <f t="shared" si="1"/>
        <v>3.2999999999999995E-2</v>
      </c>
      <c r="Q10">
        <f t="shared" si="1"/>
        <v>3.5999999999999997E-2</v>
      </c>
      <c r="R10">
        <f t="shared" si="1"/>
        <v>3.9E-2</v>
      </c>
      <c r="S10">
        <f t="shared" si="1"/>
        <v>4.2000000000000003E-2</v>
      </c>
      <c r="T10">
        <f t="shared" si="1"/>
        <v>4.5000000000000005E-2</v>
      </c>
      <c r="U10">
        <f t="shared" si="1"/>
        <v>4.8000000000000008E-2</v>
      </c>
      <c r="V10">
        <f t="shared" si="1"/>
        <v>5.1000000000000011E-2</v>
      </c>
      <c r="W10">
        <f t="shared" si="1"/>
        <v>5.4000000000000013E-2</v>
      </c>
      <c r="X10">
        <f t="shared" si="1"/>
        <v>5.7000000000000016E-2</v>
      </c>
      <c r="Y10">
        <f t="shared" si="1"/>
        <v>6.0000000000000019E-2</v>
      </c>
      <c r="Z10">
        <f t="shared" si="1"/>
        <v>6.3000000000000014E-2</v>
      </c>
      <c r="AA10">
        <f t="shared" si="1"/>
        <v>6.6000000000000017E-2</v>
      </c>
      <c r="AB10">
        <f t="shared" si="1"/>
        <v>6.900000000000002E-2</v>
      </c>
      <c r="AC10">
        <f t="shared" si="1"/>
        <v>7.2000000000000022E-2</v>
      </c>
    </row>
    <row r="11" spans="2:29" ht="18" customHeight="1" x14ac:dyDescent="0.15">
      <c r="B11" s="278" t="s">
        <v>0</v>
      </c>
      <c r="C11" s="278"/>
      <c r="D11" s="278"/>
      <c r="E11" s="2" t="s">
        <v>12</v>
      </c>
      <c r="F11" s="2">
        <v>2</v>
      </c>
      <c r="G11" s="2">
        <v>3</v>
      </c>
      <c r="H11" s="2">
        <v>4</v>
      </c>
      <c r="I11" s="2">
        <v>5</v>
      </c>
      <c r="J11" s="2">
        <v>6</v>
      </c>
      <c r="K11" s="2">
        <v>7</v>
      </c>
      <c r="L11" s="2">
        <v>8</v>
      </c>
      <c r="M11" s="2">
        <v>9</v>
      </c>
      <c r="N11" s="2">
        <v>10</v>
      </c>
      <c r="O11" s="2">
        <v>11</v>
      </c>
      <c r="P11" s="2">
        <v>12</v>
      </c>
      <c r="Q11" s="2">
        <v>13</v>
      </c>
      <c r="R11" s="2">
        <v>14</v>
      </c>
      <c r="S11" s="2">
        <v>15</v>
      </c>
      <c r="T11" s="2">
        <v>16</v>
      </c>
      <c r="U11" s="2">
        <v>17</v>
      </c>
      <c r="V11" s="2">
        <v>18</v>
      </c>
      <c r="W11" s="2">
        <v>19</v>
      </c>
      <c r="X11" s="2">
        <v>20</v>
      </c>
      <c r="Y11" s="2">
        <v>21</v>
      </c>
      <c r="Z11" s="2">
        <v>22</v>
      </c>
      <c r="AA11" s="2">
        <v>23</v>
      </c>
      <c r="AB11" s="2">
        <v>24</v>
      </c>
      <c r="AC11" s="2">
        <v>25</v>
      </c>
    </row>
    <row r="12" spans="2:29" ht="15" customHeight="1" x14ac:dyDescent="0.15">
      <c r="B12" s="279" t="s">
        <v>5</v>
      </c>
      <c r="C12" s="280"/>
      <c r="D12" s="281"/>
      <c r="E12" s="20">
        <f>行政人口の見通し!E4</f>
        <v>21500</v>
      </c>
      <c r="F12" s="20">
        <f>行政人口の見通し!F4</f>
        <v>21428.333333333332</v>
      </c>
      <c r="G12" s="20">
        <f>行政人口の見通し!G4</f>
        <v>21342.333333333332</v>
      </c>
      <c r="H12" s="20">
        <f>行政人口の見通し!H4</f>
        <v>21242</v>
      </c>
      <c r="I12" s="20">
        <f>行政人口の見通し!I4</f>
        <v>21127.333333333332</v>
      </c>
      <c r="J12" s="20">
        <f>行政人口の見通し!J4</f>
        <v>20998.333333333332</v>
      </c>
      <c r="K12" s="20">
        <f>行政人口の見通し!K4</f>
        <v>20855</v>
      </c>
      <c r="L12" s="20">
        <f>行政人口の見通し!L4</f>
        <v>20697.333333333332</v>
      </c>
      <c r="M12" s="20">
        <f>行政人口の見通し!M4</f>
        <v>20525.333333333332</v>
      </c>
      <c r="N12" s="20">
        <f>行政人口の見通し!N4</f>
        <v>20339</v>
      </c>
      <c r="O12" s="20">
        <f>行政人口の見通し!O4</f>
        <v>20138.333333333332</v>
      </c>
      <c r="P12" s="20">
        <f>行政人口の見通し!P4</f>
        <v>19923.333333333332</v>
      </c>
      <c r="Q12" s="20">
        <f>行政人口の見通し!Q4</f>
        <v>19694</v>
      </c>
      <c r="R12" s="20">
        <f>行政人口の見通し!R4</f>
        <v>19450.333333333332</v>
      </c>
      <c r="S12" s="20">
        <f>行政人口の見通し!S4</f>
        <v>19192.333333333332</v>
      </c>
      <c r="T12" s="20">
        <f>行政人口の見通し!T4</f>
        <v>18920</v>
      </c>
      <c r="U12" s="20">
        <f>行政人口の見通し!U4</f>
        <v>18633.333333333332</v>
      </c>
      <c r="V12" s="20">
        <f>行政人口の見通し!V4</f>
        <v>18332.333333333332</v>
      </c>
      <c r="W12" s="20">
        <f>行政人口の見通し!W4</f>
        <v>18017</v>
      </c>
      <c r="X12" s="20">
        <f>行政人口の見通し!X4</f>
        <v>17687.333333333332</v>
      </c>
      <c r="Y12" s="20">
        <f>行政人口の見通し!Y4</f>
        <v>17343.333333333332</v>
      </c>
      <c r="Z12" s="20">
        <f>行政人口の見通し!Z4</f>
        <v>16985</v>
      </c>
      <c r="AA12" s="20">
        <f>行政人口の見通し!AA4</f>
        <v>16612.333333333332</v>
      </c>
      <c r="AB12" s="20">
        <f>行政人口の見通し!AB4</f>
        <v>16225.333333333332</v>
      </c>
      <c r="AC12" s="20">
        <f>行政人口の見通し!AC4</f>
        <v>15823.999999999998</v>
      </c>
    </row>
    <row r="13" spans="2:29" ht="15" customHeight="1" x14ac:dyDescent="0.15">
      <c r="B13" s="171"/>
      <c r="C13" s="151" t="s">
        <v>39</v>
      </c>
      <c r="D13" s="4"/>
      <c r="E13" s="20">
        <f t="shared" ref="E13:E18" si="2">E4</f>
        <v>14000</v>
      </c>
      <c r="F13" s="20">
        <f>SUM(F14)</f>
        <v>13953</v>
      </c>
      <c r="G13" s="20">
        <f t="shared" ref="G13:AC13" si="3">SUM(G14)</f>
        <v>13897</v>
      </c>
      <c r="H13" s="20">
        <f t="shared" si="3"/>
        <v>13832</v>
      </c>
      <c r="I13" s="20">
        <f t="shared" si="3"/>
        <v>13757</v>
      </c>
      <c r="J13" s="20">
        <f t="shared" si="3"/>
        <v>13673</v>
      </c>
      <c r="K13" s="20">
        <f t="shared" si="3"/>
        <v>13580</v>
      </c>
      <c r="L13" s="20">
        <f t="shared" si="3"/>
        <v>13477</v>
      </c>
      <c r="M13" s="20">
        <f t="shared" si="3"/>
        <v>13365</v>
      </c>
      <c r="N13" s="20">
        <f t="shared" si="3"/>
        <v>13244</v>
      </c>
      <c r="O13" s="20">
        <f t="shared" si="3"/>
        <v>13113</v>
      </c>
      <c r="P13" s="20">
        <f t="shared" si="3"/>
        <v>12973</v>
      </c>
      <c r="Q13" s="20">
        <f t="shared" si="3"/>
        <v>12824</v>
      </c>
      <c r="R13" s="20">
        <f t="shared" si="3"/>
        <v>12665</v>
      </c>
      <c r="S13" s="20">
        <f t="shared" si="3"/>
        <v>12497</v>
      </c>
      <c r="T13" s="20">
        <f t="shared" si="3"/>
        <v>12320</v>
      </c>
      <c r="U13" s="20">
        <f t="shared" si="3"/>
        <v>12133</v>
      </c>
      <c r="V13" s="20">
        <f t="shared" si="3"/>
        <v>11937</v>
      </c>
      <c r="W13" s="20">
        <f t="shared" si="3"/>
        <v>11732</v>
      </c>
      <c r="X13" s="20">
        <f t="shared" si="3"/>
        <v>11517</v>
      </c>
      <c r="Y13" s="20">
        <f t="shared" si="3"/>
        <v>11293</v>
      </c>
      <c r="Z13" s="20">
        <f t="shared" si="3"/>
        <v>11060</v>
      </c>
      <c r="AA13" s="20">
        <f t="shared" si="3"/>
        <v>10817</v>
      </c>
      <c r="AB13" s="20">
        <f t="shared" si="3"/>
        <v>10565</v>
      </c>
      <c r="AC13" s="20">
        <f t="shared" si="3"/>
        <v>10304</v>
      </c>
    </row>
    <row r="14" spans="2:29" ht="15" customHeight="1" x14ac:dyDescent="0.15">
      <c r="B14" s="171"/>
      <c r="C14" s="171"/>
      <c r="D14" s="4" t="s">
        <v>40</v>
      </c>
      <c r="E14" s="20">
        <f t="shared" si="2"/>
        <v>14000</v>
      </c>
      <c r="F14" s="20">
        <f t="shared" ref="F14:AC14" si="4">ROUND(F$12*$F5,0)</f>
        <v>13953</v>
      </c>
      <c r="G14" s="20">
        <f t="shared" si="4"/>
        <v>13897</v>
      </c>
      <c r="H14" s="20">
        <f t="shared" si="4"/>
        <v>13832</v>
      </c>
      <c r="I14" s="20">
        <f t="shared" si="4"/>
        <v>13757</v>
      </c>
      <c r="J14" s="20">
        <f t="shared" si="4"/>
        <v>13673</v>
      </c>
      <c r="K14" s="20">
        <f t="shared" si="4"/>
        <v>13580</v>
      </c>
      <c r="L14" s="20">
        <f t="shared" si="4"/>
        <v>13477</v>
      </c>
      <c r="M14" s="20">
        <f t="shared" si="4"/>
        <v>13365</v>
      </c>
      <c r="N14" s="20">
        <f t="shared" si="4"/>
        <v>13244</v>
      </c>
      <c r="O14" s="20">
        <f t="shared" si="4"/>
        <v>13113</v>
      </c>
      <c r="P14" s="20">
        <f t="shared" si="4"/>
        <v>12973</v>
      </c>
      <c r="Q14" s="20">
        <f t="shared" si="4"/>
        <v>12824</v>
      </c>
      <c r="R14" s="20">
        <f t="shared" si="4"/>
        <v>12665</v>
      </c>
      <c r="S14" s="20">
        <f t="shared" si="4"/>
        <v>12497</v>
      </c>
      <c r="T14" s="20">
        <f t="shared" si="4"/>
        <v>12320</v>
      </c>
      <c r="U14" s="20">
        <f t="shared" si="4"/>
        <v>12133</v>
      </c>
      <c r="V14" s="20">
        <f t="shared" si="4"/>
        <v>11937</v>
      </c>
      <c r="W14" s="20">
        <f t="shared" si="4"/>
        <v>11732</v>
      </c>
      <c r="X14" s="20">
        <f t="shared" si="4"/>
        <v>11517</v>
      </c>
      <c r="Y14" s="20">
        <f t="shared" si="4"/>
        <v>11293</v>
      </c>
      <c r="Z14" s="20">
        <f t="shared" si="4"/>
        <v>11060</v>
      </c>
      <c r="AA14" s="20">
        <f t="shared" si="4"/>
        <v>10817</v>
      </c>
      <c r="AB14" s="20">
        <f t="shared" si="4"/>
        <v>10565</v>
      </c>
      <c r="AC14" s="20">
        <f t="shared" si="4"/>
        <v>10304</v>
      </c>
    </row>
    <row r="15" spans="2:29" ht="15" customHeight="1" x14ac:dyDescent="0.15">
      <c r="B15" s="171"/>
      <c r="C15" s="172" t="s">
        <v>41</v>
      </c>
      <c r="D15" s="5"/>
      <c r="E15" s="20">
        <f t="shared" si="2"/>
        <v>7500</v>
      </c>
      <c r="F15" s="20">
        <f t="shared" ref="F15:AC15" si="5">F12-F13</f>
        <v>7475.3333333333321</v>
      </c>
      <c r="G15" s="20">
        <f t="shared" si="5"/>
        <v>7445.3333333333321</v>
      </c>
      <c r="H15" s="20">
        <f t="shared" si="5"/>
        <v>7410</v>
      </c>
      <c r="I15" s="20">
        <f t="shared" si="5"/>
        <v>7370.3333333333321</v>
      </c>
      <c r="J15" s="20">
        <f t="shared" si="5"/>
        <v>7325.3333333333321</v>
      </c>
      <c r="K15" s="20">
        <f t="shared" si="5"/>
        <v>7275</v>
      </c>
      <c r="L15" s="20">
        <f t="shared" si="5"/>
        <v>7220.3333333333321</v>
      </c>
      <c r="M15" s="20">
        <f t="shared" si="5"/>
        <v>7160.3333333333321</v>
      </c>
      <c r="N15" s="20">
        <f t="shared" si="5"/>
        <v>7095</v>
      </c>
      <c r="O15" s="20">
        <f t="shared" si="5"/>
        <v>7025.3333333333321</v>
      </c>
      <c r="P15" s="20">
        <f t="shared" si="5"/>
        <v>6950.3333333333321</v>
      </c>
      <c r="Q15" s="20">
        <f t="shared" si="5"/>
        <v>6870</v>
      </c>
      <c r="R15" s="20">
        <f t="shared" si="5"/>
        <v>6785.3333333333321</v>
      </c>
      <c r="S15" s="20">
        <f t="shared" si="5"/>
        <v>6695.3333333333321</v>
      </c>
      <c r="T15" s="20">
        <f t="shared" si="5"/>
        <v>6600</v>
      </c>
      <c r="U15" s="20">
        <f t="shared" si="5"/>
        <v>6500.3333333333321</v>
      </c>
      <c r="V15" s="20">
        <f t="shared" si="5"/>
        <v>6395.3333333333321</v>
      </c>
      <c r="W15" s="20">
        <f t="shared" si="5"/>
        <v>6285</v>
      </c>
      <c r="X15" s="20">
        <f t="shared" si="5"/>
        <v>6170.3333333333321</v>
      </c>
      <c r="Y15" s="20">
        <f t="shared" si="5"/>
        <v>6050.3333333333321</v>
      </c>
      <c r="Z15" s="20">
        <f t="shared" si="5"/>
        <v>5925</v>
      </c>
      <c r="AA15" s="20">
        <f t="shared" si="5"/>
        <v>5795.3333333333321</v>
      </c>
      <c r="AB15" s="20">
        <f t="shared" si="5"/>
        <v>5660.3333333333321</v>
      </c>
      <c r="AC15" s="20">
        <f t="shared" si="5"/>
        <v>5519.9999999999982</v>
      </c>
    </row>
    <row r="16" spans="2:29" ht="15" customHeight="1" x14ac:dyDescent="0.15">
      <c r="B16" s="171"/>
      <c r="C16" s="198"/>
      <c r="D16" s="5" t="s">
        <v>42</v>
      </c>
      <c r="E16" s="20">
        <f t="shared" si="2"/>
        <v>4000</v>
      </c>
      <c r="F16" s="20">
        <f t="shared" ref="F16:AC16" si="6">ROUND(F$12*($F7+F10),0)</f>
        <v>4051</v>
      </c>
      <c r="G16" s="20">
        <f t="shared" si="6"/>
        <v>4099</v>
      </c>
      <c r="H16" s="20">
        <f t="shared" si="6"/>
        <v>4143</v>
      </c>
      <c r="I16" s="20">
        <f t="shared" si="6"/>
        <v>4184</v>
      </c>
      <c r="J16" s="20">
        <f t="shared" si="6"/>
        <v>4222</v>
      </c>
      <c r="K16" s="20">
        <f t="shared" si="6"/>
        <v>4255</v>
      </c>
      <c r="L16" s="20">
        <f t="shared" si="6"/>
        <v>4285</v>
      </c>
      <c r="M16" s="20">
        <f t="shared" si="6"/>
        <v>4311</v>
      </c>
      <c r="N16" s="20">
        <f t="shared" si="6"/>
        <v>4333</v>
      </c>
      <c r="O16" s="20">
        <f t="shared" si="6"/>
        <v>4351</v>
      </c>
      <c r="P16" s="20">
        <f t="shared" si="6"/>
        <v>4364</v>
      </c>
      <c r="Q16" s="20">
        <f t="shared" si="6"/>
        <v>4373</v>
      </c>
      <c r="R16" s="20">
        <f t="shared" si="6"/>
        <v>4377</v>
      </c>
      <c r="S16" s="20">
        <f t="shared" si="6"/>
        <v>4377</v>
      </c>
      <c r="T16" s="20">
        <f t="shared" si="6"/>
        <v>4371</v>
      </c>
      <c r="U16" s="20">
        <f t="shared" si="6"/>
        <v>4361</v>
      </c>
      <c r="V16" s="20">
        <f t="shared" si="6"/>
        <v>4346</v>
      </c>
      <c r="W16" s="20">
        <f t="shared" si="6"/>
        <v>4325</v>
      </c>
      <c r="X16" s="20">
        <f t="shared" si="6"/>
        <v>4299</v>
      </c>
      <c r="Y16" s="20">
        <f t="shared" si="6"/>
        <v>4267</v>
      </c>
      <c r="Z16" s="20">
        <f t="shared" si="6"/>
        <v>4230</v>
      </c>
      <c r="AA16" s="20">
        <f t="shared" si="6"/>
        <v>4187</v>
      </c>
      <c r="AB16" s="20">
        <f t="shared" si="6"/>
        <v>4138</v>
      </c>
      <c r="AC16" s="20">
        <f t="shared" si="6"/>
        <v>4083</v>
      </c>
    </row>
    <row r="17" spans="2:29" ht="15" customHeight="1" x14ac:dyDescent="0.15">
      <c r="B17" s="171"/>
      <c r="C17" s="198"/>
      <c r="D17" s="5" t="s">
        <v>43</v>
      </c>
      <c r="E17" s="20">
        <f t="shared" si="2"/>
        <v>1500</v>
      </c>
      <c r="F17" s="20">
        <f t="shared" ref="F17:AC17" si="7">ROUND(F$12*$F8,0)-ROUND(F$12*F10/2,0)</f>
        <v>1463</v>
      </c>
      <c r="G17" s="20">
        <f t="shared" si="7"/>
        <v>1425</v>
      </c>
      <c r="H17" s="20">
        <f t="shared" si="7"/>
        <v>1386</v>
      </c>
      <c r="I17" s="20">
        <f t="shared" si="7"/>
        <v>1347</v>
      </c>
      <c r="J17" s="20">
        <f t="shared" si="7"/>
        <v>1308</v>
      </c>
      <c r="K17" s="20">
        <f t="shared" si="7"/>
        <v>1267</v>
      </c>
      <c r="L17" s="20">
        <f t="shared" si="7"/>
        <v>1227</v>
      </c>
      <c r="M17" s="20">
        <f t="shared" si="7"/>
        <v>1186</v>
      </c>
      <c r="N17" s="20">
        <f t="shared" si="7"/>
        <v>1144</v>
      </c>
      <c r="O17" s="20">
        <f t="shared" si="7"/>
        <v>1103</v>
      </c>
      <c r="P17" s="20">
        <f t="shared" si="7"/>
        <v>1061</v>
      </c>
      <c r="Q17" s="20">
        <f t="shared" si="7"/>
        <v>1020</v>
      </c>
      <c r="R17" s="20">
        <f t="shared" si="7"/>
        <v>978</v>
      </c>
      <c r="S17" s="20">
        <f t="shared" si="7"/>
        <v>936</v>
      </c>
      <c r="T17" s="20">
        <f t="shared" si="7"/>
        <v>894</v>
      </c>
      <c r="U17" s="20">
        <f t="shared" si="7"/>
        <v>853</v>
      </c>
      <c r="V17" s="20">
        <f t="shared" si="7"/>
        <v>812</v>
      </c>
      <c r="W17" s="20">
        <f t="shared" si="7"/>
        <v>771</v>
      </c>
      <c r="X17" s="20">
        <f t="shared" si="7"/>
        <v>730</v>
      </c>
      <c r="Y17" s="20">
        <f t="shared" si="7"/>
        <v>690</v>
      </c>
      <c r="Z17" s="20">
        <f t="shared" si="7"/>
        <v>650</v>
      </c>
      <c r="AA17" s="20">
        <f t="shared" si="7"/>
        <v>611</v>
      </c>
      <c r="AB17" s="20">
        <f t="shared" si="7"/>
        <v>572</v>
      </c>
      <c r="AC17" s="20">
        <f t="shared" si="7"/>
        <v>534</v>
      </c>
    </row>
    <row r="18" spans="2:29" ht="15" customHeight="1" x14ac:dyDescent="0.15">
      <c r="B18" s="3"/>
      <c r="C18" s="6"/>
      <c r="D18" s="5" t="s">
        <v>44</v>
      </c>
      <c r="E18" s="20">
        <f t="shared" si="2"/>
        <v>2000</v>
      </c>
      <c r="F18" s="20">
        <f>F15-F16-F17</f>
        <v>1961.3333333333321</v>
      </c>
      <c r="G18" s="20">
        <f t="shared" ref="G18:AC18" si="8">G15-G16-G17</f>
        <v>1921.3333333333321</v>
      </c>
      <c r="H18" s="20">
        <f t="shared" si="8"/>
        <v>1881</v>
      </c>
      <c r="I18" s="20">
        <f t="shared" si="8"/>
        <v>1839.3333333333321</v>
      </c>
      <c r="J18" s="20">
        <f t="shared" si="8"/>
        <v>1795.3333333333321</v>
      </c>
      <c r="K18" s="20">
        <f t="shared" si="8"/>
        <v>1753</v>
      </c>
      <c r="L18" s="20">
        <f t="shared" si="8"/>
        <v>1708.3333333333321</v>
      </c>
      <c r="M18" s="20">
        <f t="shared" si="8"/>
        <v>1663.3333333333321</v>
      </c>
      <c r="N18" s="20">
        <f t="shared" si="8"/>
        <v>1618</v>
      </c>
      <c r="O18" s="20">
        <f t="shared" si="8"/>
        <v>1571.3333333333321</v>
      </c>
      <c r="P18" s="20">
        <f t="shared" si="8"/>
        <v>1525.3333333333321</v>
      </c>
      <c r="Q18" s="20">
        <f t="shared" si="8"/>
        <v>1477</v>
      </c>
      <c r="R18" s="20">
        <f t="shared" si="8"/>
        <v>1430.3333333333321</v>
      </c>
      <c r="S18" s="20">
        <f t="shared" si="8"/>
        <v>1382.3333333333321</v>
      </c>
      <c r="T18" s="20">
        <f t="shared" si="8"/>
        <v>1335</v>
      </c>
      <c r="U18" s="20">
        <f t="shared" si="8"/>
        <v>1286.3333333333321</v>
      </c>
      <c r="V18" s="20">
        <f t="shared" si="8"/>
        <v>1237.3333333333321</v>
      </c>
      <c r="W18" s="20">
        <f t="shared" si="8"/>
        <v>1189</v>
      </c>
      <c r="X18" s="20">
        <f t="shared" si="8"/>
        <v>1141.3333333333321</v>
      </c>
      <c r="Y18" s="20">
        <f t="shared" si="8"/>
        <v>1093.3333333333321</v>
      </c>
      <c r="Z18" s="20">
        <f t="shared" si="8"/>
        <v>1045</v>
      </c>
      <c r="AA18" s="20">
        <f t="shared" si="8"/>
        <v>997.33333333333212</v>
      </c>
      <c r="AB18" s="20">
        <f t="shared" si="8"/>
        <v>950.33333333333212</v>
      </c>
      <c r="AC18" s="20">
        <f t="shared" si="8"/>
        <v>902.99999999999818</v>
      </c>
    </row>
    <row r="19" spans="2:29" x14ac:dyDescent="0.15">
      <c r="F19" s="199"/>
    </row>
  </sheetData>
  <mergeCells count="4">
    <mergeCell ref="B2:D2"/>
    <mergeCell ref="B3:D3"/>
    <mergeCell ref="B11:D11"/>
    <mergeCell ref="B12:D12"/>
  </mergeCells>
  <phoneticPr fontId="26"/>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9"/>
  <sheetViews>
    <sheetView showGridLines="0" workbookViewId="0">
      <selection activeCell="E7" sqref="E7"/>
    </sheetView>
  </sheetViews>
  <sheetFormatPr defaultColWidth="9" defaultRowHeight="13.5" x14ac:dyDescent="0.15"/>
  <cols>
    <col min="2" max="2" width="25.25" customWidth="1"/>
    <col min="3" max="3" width="9" customWidth="1"/>
    <col min="4" max="4" width="15.625" customWidth="1"/>
    <col min="5" max="5" width="16" customWidth="1"/>
    <col min="6" max="6" width="9.875" customWidth="1"/>
  </cols>
  <sheetData>
    <row r="4" spans="2:6" x14ac:dyDescent="0.15">
      <c r="B4" s="282" t="s">
        <v>85</v>
      </c>
      <c r="C4" s="282" t="s">
        <v>86</v>
      </c>
      <c r="D4" s="8" t="s">
        <v>87</v>
      </c>
      <c r="E4" s="8" t="s">
        <v>88</v>
      </c>
      <c r="F4" s="8" t="s">
        <v>89</v>
      </c>
    </row>
    <row r="5" spans="2:6" ht="15.75" x14ac:dyDescent="0.15">
      <c r="B5" s="283"/>
      <c r="C5" s="283"/>
      <c r="D5" s="9" t="s">
        <v>90</v>
      </c>
      <c r="E5" s="9" t="s">
        <v>90</v>
      </c>
      <c r="F5" s="9" t="s">
        <v>8</v>
      </c>
    </row>
    <row r="6" spans="2:6" x14ac:dyDescent="0.15">
      <c r="B6" s="278"/>
      <c r="C6" s="278"/>
      <c r="D6" s="186" t="s">
        <v>91</v>
      </c>
      <c r="E6" s="186" t="s">
        <v>92</v>
      </c>
      <c r="F6" s="186" t="s">
        <v>93</v>
      </c>
    </row>
    <row r="7" spans="2:6" ht="13.5" customHeight="1" x14ac:dyDescent="0.15">
      <c r="B7" s="3" t="s">
        <v>94</v>
      </c>
      <c r="C7" s="3" t="s">
        <v>95</v>
      </c>
      <c r="D7" s="20">
        <v>9000</v>
      </c>
      <c r="E7" s="40">
        <f>流入水量!D3</f>
        <v>4060</v>
      </c>
      <c r="F7" s="193">
        <f t="shared" ref="F7:F8" si="0">E7/D7</f>
        <v>0.45111111111111113</v>
      </c>
    </row>
    <row r="8" spans="2:6" ht="13.5" customHeight="1" x14ac:dyDescent="0.15">
      <c r="B8" s="4" t="s">
        <v>98</v>
      </c>
      <c r="C8" s="5" t="s">
        <v>99</v>
      </c>
      <c r="D8" s="21">
        <v>25</v>
      </c>
      <c r="E8" s="13">
        <f>流入水量!D4</f>
        <v>16.625</v>
      </c>
      <c r="F8" s="194">
        <f t="shared" si="0"/>
        <v>0.66500000000000004</v>
      </c>
    </row>
    <row r="9" spans="2:6" x14ac:dyDescent="0.15">
      <c r="B9" s="213" t="s">
        <v>286</v>
      </c>
    </row>
  </sheetData>
  <mergeCells count="2">
    <mergeCell ref="B4:B6"/>
    <mergeCell ref="C4:C6"/>
  </mergeCells>
  <phoneticPr fontId="26"/>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9"/>
  <sheetViews>
    <sheetView showGridLines="0" workbookViewId="0">
      <selection activeCell="B21" sqref="B21"/>
    </sheetView>
  </sheetViews>
  <sheetFormatPr defaultColWidth="9" defaultRowHeight="13.5" x14ac:dyDescent="0.15"/>
  <cols>
    <col min="2" max="2" width="13.375" customWidth="1"/>
    <col min="3" max="3" width="21" customWidth="1"/>
    <col min="4" max="6" width="13.75" customWidth="1"/>
    <col min="7" max="7" width="25.25" customWidth="1"/>
    <col min="8" max="8" width="15.5" customWidth="1"/>
  </cols>
  <sheetData>
    <row r="3" spans="2:8" ht="13.5" customHeight="1" x14ac:dyDescent="0.15">
      <c r="B3" s="283" t="s">
        <v>85</v>
      </c>
      <c r="C3" s="286" t="s">
        <v>86</v>
      </c>
      <c r="D3" s="292" t="s">
        <v>101</v>
      </c>
      <c r="E3" s="293"/>
      <c r="F3" s="294"/>
      <c r="G3" s="288" t="s">
        <v>102</v>
      </c>
      <c r="H3" s="290" t="s">
        <v>48</v>
      </c>
    </row>
    <row r="4" spans="2:8" ht="27" x14ac:dyDescent="0.15">
      <c r="B4" s="295"/>
      <c r="C4" s="287"/>
      <c r="D4" s="187" t="s">
        <v>103</v>
      </c>
      <c r="E4" s="165" t="s">
        <v>104</v>
      </c>
      <c r="F4" s="165" t="s">
        <v>105</v>
      </c>
      <c r="G4" s="289"/>
      <c r="H4" s="291"/>
    </row>
    <row r="5" spans="2:8" x14ac:dyDescent="0.15">
      <c r="B5" s="296" t="s">
        <v>94</v>
      </c>
      <c r="C5" s="3" t="s">
        <v>95</v>
      </c>
      <c r="D5" s="20">
        <f>D12*処理能力と稼働率!E7*365/1000</f>
        <v>111142.5</v>
      </c>
      <c r="E5" s="20">
        <f>+D5-F5</f>
        <v>94841.600000000006</v>
      </c>
      <c r="F5" s="20">
        <f>F12*処理能力と稼働率!E7*365/1000</f>
        <v>16300.9</v>
      </c>
      <c r="G5" s="20">
        <f t="shared" ref="G5:G7" si="0">F5/15*1000</f>
        <v>1086726.6666666667</v>
      </c>
      <c r="H5" s="153"/>
    </row>
    <row r="6" spans="2:8" ht="18" customHeight="1" x14ac:dyDescent="0.15">
      <c r="B6" s="297"/>
      <c r="C6" s="4" t="s">
        <v>106</v>
      </c>
      <c r="D6" s="20">
        <v>40011</v>
      </c>
      <c r="E6" s="188"/>
      <c r="F6" s="188"/>
      <c r="G6" s="189"/>
      <c r="H6" s="190" t="s">
        <v>107</v>
      </c>
    </row>
    <row r="7" spans="2:8" ht="18" customHeight="1" x14ac:dyDescent="0.15">
      <c r="B7" s="4" t="s">
        <v>98</v>
      </c>
      <c r="C7" s="5" t="s">
        <v>108</v>
      </c>
      <c r="D7" s="20">
        <f>D14*処理能力と稼働率!E8*365/1000</f>
        <v>109226.25</v>
      </c>
      <c r="E7" s="149">
        <f>E14*処理能力と稼働率!E8*365/1000</f>
        <v>100124.0625</v>
      </c>
      <c r="F7" s="149">
        <f>F14*処理能力と稼働率!E8*365/1000</f>
        <v>9102.1875</v>
      </c>
      <c r="G7" s="21">
        <f t="shared" si="0"/>
        <v>606812.5</v>
      </c>
      <c r="H7" s="4"/>
    </row>
    <row r="8" spans="2:8" ht="18" customHeight="1" x14ac:dyDescent="0.15">
      <c r="B8" s="121" t="s">
        <v>109</v>
      </c>
    </row>
    <row r="9" spans="2:8" x14ac:dyDescent="0.15">
      <c r="B9" s="121" t="s">
        <v>110</v>
      </c>
    </row>
    <row r="10" spans="2:8" ht="15.75" x14ac:dyDescent="0.15">
      <c r="F10" s="11" t="s">
        <v>111</v>
      </c>
    </row>
    <row r="11" spans="2:8" ht="27" x14ac:dyDescent="0.15">
      <c r="B11" s="1" t="s">
        <v>85</v>
      </c>
      <c r="C11" s="1" t="s">
        <v>86</v>
      </c>
      <c r="D11" s="217" t="s">
        <v>291</v>
      </c>
      <c r="E11" s="165" t="s">
        <v>112</v>
      </c>
      <c r="F11" s="165" t="s">
        <v>113</v>
      </c>
      <c r="G11" s="191" t="s">
        <v>48</v>
      </c>
    </row>
    <row r="12" spans="2:8" x14ac:dyDescent="0.15">
      <c r="B12" s="284" t="s">
        <v>94</v>
      </c>
      <c r="C12" s="3" t="s">
        <v>95</v>
      </c>
      <c r="D12" s="20">
        <v>75</v>
      </c>
      <c r="E12" s="20">
        <f>D12-F12</f>
        <v>64</v>
      </c>
      <c r="F12" s="20">
        <v>11</v>
      </c>
      <c r="G12" s="3"/>
    </row>
    <row r="13" spans="2:8" ht="21" customHeight="1" x14ac:dyDescent="0.15">
      <c r="B13" s="285"/>
      <c r="C13" s="4" t="s">
        <v>106</v>
      </c>
      <c r="D13" s="21">
        <f>1000*D6/(365*'経済性比較、エネルギー、GHG'!E125)</f>
        <v>1588.68374032162</v>
      </c>
      <c r="E13" s="192"/>
      <c r="F13" s="192"/>
      <c r="G13" s="153" t="s">
        <v>107</v>
      </c>
    </row>
    <row r="14" spans="2:8" ht="16.5" customHeight="1" x14ac:dyDescent="0.15">
      <c r="B14" s="4" t="s">
        <v>98</v>
      </c>
      <c r="C14" s="5" t="s">
        <v>108</v>
      </c>
      <c r="D14" s="21">
        <v>18000</v>
      </c>
      <c r="E14" s="49">
        <f>+D14-F14</f>
        <v>16500</v>
      </c>
      <c r="F14" s="49">
        <v>1500</v>
      </c>
      <c r="G14" s="4"/>
    </row>
    <row r="15" spans="2:8" ht="16.5" customHeight="1" x14ac:dyDescent="0.15">
      <c r="B15" s="16" t="s">
        <v>100</v>
      </c>
      <c r="D15" s="97"/>
      <c r="E15" s="97"/>
      <c r="F15" s="97"/>
    </row>
    <row r="16" spans="2:8" ht="16.5" customHeight="1" x14ac:dyDescent="0.15">
      <c r="B16" s="121" t="s">
        <v>114</v>
      </c>
    </row>
    <row r="17" spans="2:8" ht="16.5" customHeight="1" x14ac:dyDescent="0.15">
      <c r="B17" s="121" t="s">
        <v>110</v>
      </c>
    </row>
    <row r="19" spans="2:8" x14ac:dyDescent="0.15">
      <c r="H19" s="97"/>
    </row>
  </sheetData>
  <mergeCells count="7">
    <mergeCell ref="B12:B13"/>
    <mergeCell ref="C3:C4"/>
    <mergeCell ref="G3:G4"/>
    <mergeCell ref="H3:H4"/>
    <mergeCell ref="D3:F3"/>
    <mergeCell ref="B3:B4"/>
    <mergeCell ref="B5:B6"/>
  </mergeCells>
  <phoneticPr fontId="26"/>
  <pageMargins left="0.69930555555555596" right="0.69930555555555596" top="0.75" bottom="0.75" header="0.3" footer="0.3"/>
  <pageSetup paperSize="9" orientation="portrait"/>
  <ignoredErrors>
    <ignoredError sqref="E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C5"/>
  <sheetViews>
    <sheetView showGridLines="0" zoomScale="85" zoomScaleNormal="85" workbookViewId="0">
      <selection activeCell="F24" sqref="F24"/>
    </sheetView>
  </sheetViews>
  <sheetFormatPr defaultColWidth="9" defaultRowHeight="13.5" x14ac:dyDescent="0.15"/>
  <cols>
    <col min="1" max="1" width="9" style="248"/>
    <col min="2" max="2" width="17.25" style="248" customWidth="1"/>
    <col min="3" max="4" width="8.875" style="248" customWidth="1"/>
    <col min="5" max="29" width="4.625" style="248" customWidth="1"/>
    <col min="30" max="16384" width="9" style="248"/>
  </cols>
  <sheetData>
    <row r="3" spans="2:29" ht="14.25" thickBot="1" x14ac:dyDescent="0.2">
      <c r="B3" s="244"/>
      <c r="C3" s="245" t="s">
        <v>304</v>
      </c>
      <c r="D3" s="246" t="s">
        <v>305</v>
      </c>
      <c r="E3" s="247">
        <v>1</v>
      </c>
      <c r="F3" s="247">
        <v>2</v>
      </c>
      <c r="G3" s="247">
        <v>3</v>
      </c>
      <c r="H3" s="247">
        <v>4</v>
      </c>
      <c r="I3" s="247">
        <v>5</v>
      </c>
      <c r="J3" s="247">
        <v>6</v>
      </c>
      <c r="K3" s="247">
        <v>7</v>
      </c>
      <c r="L3" s="247">
        <v>8</v>
      </c>
      <c r="M3" s="247">
        <v>9</v>
      </c>
      <c r="N3" s="247">
        <v>10</v>
      </c>
      <c r="O3" s="247">
        <v>11</v>
      </c>
      <c r="P3" s="247">
        <v>12</v>
      </c>
      <c r="Q3" s="247">
        <v>13</v>
      </c>
      <c r="R3" s="247">
        <v>14</v>
      </c>
      <c r="S3" s="247">
        <v>15</v>
      </c>
      <c r="T3" s="247">
        <v>16</v>
      </c>
      <c r="U3" s="247">
        <v>17</v>
      </c>
      <c r="V3" s="247">
        <v>18</v>
      </c>
      <c r="W3" s="247">
        <v>19</v>
      </c>
      <c r="X3" s="247">
        <v>20</v>
      </c>
      <c r="Y3" s="247">
        <v>21</v>
      </c>
      <c r="Z3" s="247">
        <v>22</v>
      </c>
      <c r="AA3" s="247">
        <v>23</v>
      </c>
      <c r="AB3" s="247">
        <v>24</v>
      </c>
      <c r="AC3" s="247">
        <v>25</v>
      </c>
    </row>
    <row r="4" spans="2:29" ht="14.25" customHeight="1" thickTop="1" x14ac:dyDescent="0.15">
      <c r="B4" s="249" t="s">
        <v>94</v>
      </c>
      <c r="C4" s="250" t="s">
        <v>306</v>
      </c>
      <c r="D4" s="251" t="s">
        <v>307</v>
      </c>
      <c r="E4" s="251"/>
      <c r="F4" s="252"/>
      <c r="G4" s="253"/>
      <c r="H4" s="253"/>
      <c r="I4" s="253"/>
      <c r="J4" s="253"/>
      <c r="K4" s="254"/>
      <c r="L4" s="253"/>
      <c r="M4" s="253"/>
      <c r="N4" s="252"/>
      <c r="O4" s="253"/>
      <c r="P4" s="255"/>
      <c r="Q4" s="252"/>
      <c r="R4" s="252"/>
      <c r="S4" s="252"/>
      <c r="T4" s="252"/>
      <c r="U4" s="252"/>
      <c r="V4" s="252"/>
      <c r="W4" s="252"/>
      <c r="X4" s="252"/>
      <c r="Y4" s="252"/>
      <c r="Z4" s="252"/>
      <c r="AA4" s="252"/>
      <c r="AB4" s="252"/>
      <c r="AC4" s="252"/>
    </row>
    <row r="5" spans="2:29" x14ac:dyDescent="0.15">
      <c r="B5" s="256" t="s">
        <v>309</v>
      </c>
      <c r="C5" s="257" t="s">
        <v>306</v>
      </c>
      <c r="D5" s="258" t="s">
        <v>308</v>
      </c>
      <c r="E5" s="259"/>
      <c r="F5" s="260"/>
      <c r="G5" s="260"/>
      <c r="H5" s="260"/>
      <c r="I5" s="260"/>
      <c r="J5" s="261"/>
      <c r="K5" s="260"/>
      <c r="L5" s="260"/>
      <c r="M5" s="260"/>
      <c r="N5" s="262"/>
      <c r="O5" s="260"/>
      <c r="P5" s="262"/>
      <c r="Q5" s="262"/>
      <c r="R5" s="262"/>
      <c r="S5" s="262"/>
      <c r="T5" s="262"/>
      <c r="U5" s="262"/>
      <c r="V5" s="262"/>
      <c r="W5" s="262"/>
      <c r="X5" s="262"/>
      <c r="Y5" s="262"/>
      <c r="Z5" s="262"/>
      <c r="AA5" s="262"/>
      <c r="AB5" s="262"/>
      <c r="AC5" s="262"/>
    </row>
  </sheetData>
  <phoneticPr fontId="26"/>
  <pageMargins left="0.69930555555555596" right="0.69930555555555596"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election activeCell="D12" sqref="B12:D19"/>
    </sheetView>
  </sheetViews>
  <sheetFormatPr defaultColWidth="9" defaultRowHeight="13.5" x14ac:dyDescent="0.15"/>
  <cols>
    <col min="3" max="5" width="21.625" customWidth="1"/>
  </cols>
  <sheetData>
    <row r="1" spans="1:5" x14ac:dyDescent="0.15">
      <c r="E1" s="11" t="s">
        <v>61</v>
      </c>
    </row>
    <row r="2" spans="1:5" x14ac:dyDescent="0.15">
      <c r="A2" t="s">
        <v>63</v>
      </c>
      <c r="B2" s="282" t="s">
        <v>0</v>
      </c>
      <c r="C2" s="282" t="s">
        <v>62</v>
      </c>
      <c r="D2" s="282"/>
      <c r="E2" s="282" t="s">
        <v>48</v>
      </c>
    </row>
    <row r="3" spans="1:5" ht="15.75" x14ac:dyDescent="0.15">
      <c r="B3" s="278"/>
      <c r="C3" s="197" t="s">
        <v>63</v>
      </c>
      <c r="D3" s="263" t="s">
        <v>310</v>
      </c>
      <c r="E3" s="278"/>
    </row>
    <row r="4" spans="1:5" x14ac:dyDescent="0.15">
      <c r="B4" s="14" t="s">
        <v>64</v>
      </c>
      <c r="C4" s="265">
        <v>7800</v>
      </c>
      <c r="D4" s="266">
        <v>3700</v>
      </c>
      <c r="E4" s="243" t="s">
        <v>58</v>
      </c>
    </row>
    <row r="5" spans="1:5" x14ac:dyDescent="0.15">
      <c r="B5" s="7" t="s">
        <v>65</v>
      </c>
      <c r="C5" s="267">
        <v>4700</v>
      </c>
      <c r="D5" s="268">
        <v>3700</v>
      </c>
      <c r="E5" s="242" t="s">
        <v>54</v>
      </c>
    </row>
    <row r="6" spans="1:5" x14ac:dyDescent="0.15">
      <c r="B6" s="7" t="s">
        <v>66</v>
      </c>
      <c r="C6" s="267">
        <v>8300</v>
      </c>
      <c r="D6" s="268">
        <v>8600</v>
      </c>
      <c r="E6" s="242" t="s">
        <v>54</v>
      </c>
    </row>
    <row r="7" spans="1:5" x14ac:dyDescent="0.15">
      <c r="B7" s="7" t="s">
        <v>67</v>
      </c>
      <c r="C7" s="267">
        <v>2700</v>
      </c>
      <c r="D7" s="268">
        <v>800</v>
      </c>
      <c r="E7" s="242" t="s">
        <v>54</v>
      </c>
    </row>
    <row r="8" spans="1:5" x14ac:dyDescent="0.15">
      <c r="B8" s="7" t="s">
        <v>68</v>
      </c>
      <c r="C8" s="267">
        <v>2000</v>
      </c>
      <c r="D8" s="268">
        <v>500</v>
      </c>
      <c r="E8" s="242" t="s">
        <v>54</v>
      </c>
    </row>
    <row r="9" spans="1:5" x14ac:dyDescent="0.15">
      <c r="B9" s="7" t="s">
        <v>69</v>
      </c>
      <c r="C9" s="267">
        <v>350</v>
      </c>
      <c r="D9" s="268">
        <v>130</v>
      </c>
      <c r="E9" s="7" t="s">
        <v>54</v>
      </c>
    </row>
    <row r="10" spans="1:5" x14ac:dyDescent="0.15">
      <c r="B10" s="17" t="s">
        <v>70</v>
      </c>
    </row>
    <row r="12" spans="1:5" x14ac:dyDescent="0.15">
      <c r="D12" s="11" t="s">
        <v>311</v>
      </c>
    </row>
    <row r="13" spans="1:5" x14ac:dyDescent="0.15">
      <c r="A13" t="s">
        <v>71</v>
      </c>
      <c r="B13" s="241" t="s">
        <v>312</v>
      </c>
      <c r="C13" s="241" t="s">
        <v>313</v>
      </c>
      <c r="D13" s="241" t="s">
        <v>314</v>
      </c>
    </row>
    <row r="14" spans="1:5" x14ac:dyDescent="0.15">
      <c r="B14" s="243" t="s">
        <v>315</v>
      </c>
      <c r="C14" s="264">
        <v>210</v>
      </c>
      <c r="D14" s="243" t="s">
        <v>316</v>
      </c>
    </row>
    <row r="15" spans="1:5" x14ac:dyDescent="0.15">
      <c r="B15" s="242" t="s">
        <v>317</v>
      </c>
      <c r="C15" s="29" t="s">
        <v>318</v>
      </c>
      <c r="D15" s="242" t="s">
        <v>319</v>
      </c>
    </row>
    <row r="16" spans="1:5" x14ac:dyDescent="0.15">
      <c r="B16" s="242" t="s">
        <v>320</v>
      </c>
      <c r="C16" s="29">
        <v>180</v>
      </c>
      <c r="D16" s="242" t="s">
        <v>316</v>
      </c>
    </row>
    <row r="17" spans="2:4" x14ac:dyDescent="0.15">
      <c r="B17" s="242" t="s">
        <v>321</v>
      </c>
      <c r="C17" s="29">
        <v>40</v>
      </c>
      <c r="D17" s="242" t="s">
        <v>316</v>
      </c>
    </row>
    <row r="18" spans="2:4" x14ac:dyDescent="0.15">
      <c r="B18" s="242" t="s">
        <v>322</v>
      </c>
      <c r="C18" s="29" t="s">
        <v>318</v>
      </c>
      <c r="D18" s="242" t="s">
        <v>319</v>
      </c>
    </row>
    <row r="19" spans="2:4" x14ac:dyDescent="0.15">
      <c r="B19" s="242" t="s">
        <v>323</v>
      </c>
      <c r="C19" s="29">
        <v>5</v>
      </c>
      <c r="D19" s="242" t="s">
        <v>316</v>
      </c>
    </row>
  </sheetData>
  <mergeCells count="3">
    <mergeCell ref="C2:D2"/>
    <mergeCell ref="B2:B3"/>
    <mergeCell ref="E2:E3"/>
  </mergeCells>
  <phoneticPr fontId="26"/>
  <pageMargins left="0.69930555555555596" right="0.69930555555555596"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election activeCell="D4" sqref="D4"/>
    </sheetView>
  </sheetViews>
  <sheetFormatPr defaultColWidth="9" defaultRowHeight="13.5" x14ac:dyDescent="0.15"/>
  <cols>
    <col min="2" max="2" width="16.625" customWidth="1"/>
    <col min="3" max="4" width="12.625" customWidth="1"/>
    <col min="5" max="5" width="20.875" customWidth="1"/>
  </cols>
  <sheetData>
    <row r="1" spans="1:5" x14ac:dyDescent="0.15">
      <c r="E1" s="11" t="s">
        <v>45</v>
      </c>
    </row>
    <row r="2" spans="1:5" ht="20.100000000000001" customHeight="1" x14ac:dyDescent="0.15">
      <c r="A2" s="282" t="s">
        <v>46</v>
      </c>
      <c r="B2" s="282"/>
      <c r="C2" s="282" t="s">
        <v>47</v>
      </c>
      <c r="D2" s="282"/>
      <c r="E2" s="282" t="s">
        <v>48</v>
      </c>
    </row>
    <row r="3" spans="1:5" ht="20.100000000000001" customHeight="1" x14ac:dyDescent="0.15">
      <c r="A3" s="278"/>
      <c r="B3" s="278"/>
      <c r="C3" s="1" t="s">
        <v>49</v>
      </c>
      <c r="D3" s="1" t="s">
        <v>50</v>
      </c>
      <c r="E3" s="278"/>
    </row>
    <row r="4" spans="1:5" ht="20.25" customHeight="1" x14ac:dyDescent="0.15">
      <c r="A4" s="225" t="s">
        <v>51</v>
      </c>
      <c r="B4" s="3" t="s">
        <v>52</v>
      </c>
      <c r="C4" s="3">
        <v>290</v>
      </c>
      <c r="D4" s="3">
        <f>+ROUND(C4/0.7,-1)</f>
        <v>410</v>
      </c>
      <c r="E4" s="3" t="s">
        <v>53</v>
      </c>
    </row>
    <row r="5" spans="1:5" ht="20.25" customHeight="1" x14ac:dyDescent="0.15">
      <c r="A5" s="282" t="s">
        <v>55</v>
      </c>
      <c r="B5" s="4" t="s">
        <v>56</v>
      </c>
      <c r="C5" s="4">
        <v>2.61</v>
      </c>
      <c r="D5" s="7" t="s">
        <v>57</v>
      </c>
      <c r="E5" s="10" t="s">
        <v>58</v>
      </c>
    </row>
    <row r="6" spans="1:5" x14ac:dyDescent="0.15">
      <c r="A6" s="282"/>
      <c r="B6" s="5" t="s">
        <v>59</v>
      </c>
      <c r="C6" s="4">
        <v>1.1100000000000001</v>
      </c>
      <c r="D6" s="7" t="s">
        <v>57</v>
      </c>
      <c r="E6" s="214" t="s">
        <v>294</v>
      </c>
    </row>
    <row r="7" spans="1:5" x14ac:dyDescent="0.15">
      <c r="A7" s="282"/>
      <c r="B7" s="5" t="s">
        <v>60</v>
      </c>
      <c r="C7" s="4">
        <v>2.2599999999999998</v>
      </c>
      <c r="D7" s="7" t="s">
        <v>57</v>
      </c>
      <c r="E7" s="214" t="s">
        <v>294</v>
      </c>
    </row>
  </sheetData>
  <mergeCells count="4">
    <mergeCell ref="C2:D2"/>
    <mergeCell ref="A5:A7"/>
    <mergeCell ref="E2:E3"/>
    <mergeCell ref="A2:B3"/>
  </mergeCells>
  <phoneticPr fontId="26"/>
  <pageMargins left="0.69930555555555596" right="0.69930555555555596"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zoomScale="85" zoomScaleNormal="85" workbookViewId="0">
      <selection activeCell="E14" sqref="E14"/>
    </sheetView>
  </sheetViews>
  <sheetFormatPr defaultColWidth="9" defaultRowHeight="13.5" outlineLevelCol="1" x14ac:dyDescent="0.15"/>
  <cols>
    <col min="2" max="2" width="4" customWidth="1"/>
    <col min="3" max="3" width="21.375" customWidth="1"/>
    <col min="4" max="15" width="9" customWidth="1" outlineLevel="1"/>
  </cols>
  <sheetData>
    <row r="1" spans="1:28" x14ac:dyDescent="0.15">
      <c r="B1" s="118"/>
      <c r="C1" s="118"/>
      <c r="D1" s="195"/>
      <c r="E1" s="195"/>
      <c r="F1" s="195"/>
      <c r="G1" s="195"/>
      <c r="H1" s="195"/>
      <c r="I1" s="195"/>
      <c r="J1" s="195"/>
      <c r="K1" s="195"/>
      <c r="L1" s="195"/>
      <c r="M1" s="195"/>
      <c r="N1" s="195"/>
      <c r="O1" s="195"/>
      <c r="P1" s="195"/>
      <c r="Q1" s="195"/>
      <c r="R1" s="195"/>
      <c r="S1" s="195"/>
      <c r="T1" s="195"/>
      <c r="U1" s="195"/>
      <c r="V1" s="195"/>
      <c r="W1" s="195"/>
      <c r="X1" s="195"/>
      <c r="Y1" s="195"/>
      <c r="Z1" s="195"/>
      <c r="AA1" s="195"/>
      <c r="AB1" s="195"/>
    </row>
    <row r="2" spans="1:28" ht="20.100000000000001" customHeight="1" x14ac:dyDescent="0.15">
      <c r="A2" s="278" t="s">
        <v>72</v>
      </c>
      <c r="B2" s="278"/>
      <c r="C2" s="278"/>
      <c r="D2" s="196" t="s">
        <v>12</v>
      </c>
      <c r="E2" s="196">
        <v>2</v>
      </c>
      <c r="F2" s="196">
        <v>3</v>
      </c>
      <c r="G2" s="196">
        <v>4</v>
      </c>
      <c r="H2" s="196">
        <v>5</v>
      </c>
      <c r="I2" s="196">
        <v>6</v>
      </c>
      <c r="J2" s="196">
        <v>7</v>
      </c>
      <c r="K2" s="196">
        <v>8</v>
      </c>
      <c r="L2" s="196">
        <v>9</v>
      </c>
      <c r="M2" s="196">
        <v>10</v>
      </c>
      <c r="N2" s="196">
        <v>11</v>
      </c>
      <c r="O2" s="196">
        <v>12</v>
      </c>
      <c r="P2" s="196">
        <v>13</v>
      </c>
      <c r="Q2" s="196">
        <v>14</v>
      </c>
      <c r="R2" s="196">
        <v>15</v>
      </c>
      <c r="S2" s="196">
        <v>16</v>
      </c>
      <c r="T2" s="196">
        <v>17</v>
      </c>
      <c r="U2" s="196">
        <v>18</v>
      </c>
      <c r="V2" s="196">
        <v>19</v>
      </c>
      <c r="W2" s="196">
        <v>20</v>
      </c>
      <c r="X2" s="196">
        <v>21</v>
      </c>
      <c r="Y2" s="196">
        <v>22</v>
      </c>
      <c r="Z2" s="196">
        <v>23</v>
      </c>
      <c r="AA2" s="196">
        <v>24</v>
      </c>
      <c r="AB2" s="196">
        <v>25</v>
      </c>
    </row>
    <row r="3" spans="1:28" ht="20.100000000000001" customHeight="1" x14ac:dyDescent="0.15">
      <c r="A3" s="301" t="s">
        <v>73</v>
      </c>
      <c r="B3" s="3" t="s">
        <v>74</v>
      </c>
      <c r="C3" s="3"/>
      <c r="D3" s="40">
        <f>'整備の現状、人口見通し'!E14*汚水量原単位!$C4/1000</f>
        <v>4060</v>
      </c>
      <c r="E3" s="40">
        <f>'整備の現状、人口見通し'!F14*汚水量原単位!$C4/1000</f>
        <v>4046.37</v>
      </c>
      <c r="F3" s="40">
        <f>'整備の現状、人口見通し'!G14*汚水量原単位!$C4/1000</f>
        <v>4030.13</v>
      </c>
      <c r="G3" s="40">
        <f>'整備の現状、人口見通し'!H14*汚水量原単位!$C4/1000</f>
        <v>4011.28</v>
      </c>
      <c r="H3" s="40">
        <f>'整備の現状、人口見通し'!I14*汚水量原単位!$C4/1000</f>
        <v>3989.53</v>
      </c>
      <c r="I3" s="40">
        <f>'整備の現状、人口見通し'!J14*汚水量原単位!$C4/1000</f>
        <v>3965.17</v>
      </c>
      <c r="J3" s="40">
        <f>'整備の現状、人口見通し'!K14*汚水量原単位!$C4/1000</f>
        <v>3938.2</v>
      </c>
      <c r="K3" s="40">
        <f>'整備の現状、人口見通し'!L14*汚水量原単位!$C4/1000</f>
        <v>3908.33</v>
      </c>
      <c r="L3" s="40">
        <f>'整備の現状、人口見通し'!M14*汚水量原単位!$C4/1000</f>
        <v>3875.85</v>
      </c>
      <c r="M3" s="40">
        <f>'整備の現状、人口見通し'!N14*汚水量原単位!$C4/1000</f>
        <v>3840.76</v>
      </c>
      <c r="N3" s="40">
        <f>'整備の現状、人口見通し'!O14*汚水量原単位!$C4/1000</f>
        <v>3802.77</v>
      </c>
      <c r="O3" s="40">
        <f>'整備の現状、人口見通し'!P14*汚水量原単位!$C4/1000</f>
        <v>3762.17</v>
      </c>
      <c r="P3" s="40">
        <f>'整備の現状、人口見通し'!Q14*汚水量原単位!$C4/1000</f>
        <v>3718.96</v>
      </c>
      <c r="Q3" s="40">
        <f>'整備の現状、人口見通し'!R14*汚水量原単位!$C4/1000</f>
        <v>3672.85</v>
      </c>
      <c r="R3" s="40">
        <f>'整備の現状、人口見通し'!S14*汚水量原単位!$C4/1000</f>
        <v>3624.13</v>
      </c>
      <c r="S3" s="40">
        <f>'整備の現状、人口見通し'!T14*汚水量原単位!$C4/1000</f>
        <v>3572.8</v>
      </c>
      <c r="T3" s="40">
        <f>'整備の現状、人口見通し'!U14*汚水量原単位!$C4/1000</f>
        <v>3518.57</v>
      </c>
      <c r="U3" s="40">
        <f>'整備の現状、人口見通し'!V14*汚水量原単位!$C4/1000</f>
        <v>3461.73</v>
      </c>
      <c r="V3" s="40">
        <f>'整備の現状、人口見通し'!W14*汚水量原単位!$C4/1000</f>
        <v>3402.28</v>
      </c>
      <c r="W3" s="40">
        <f>'整備の現状、人口見通し'!X14*汚水量原単位!$C4/1000</f>
        <v>3339.93</v>
      </c>
      <c r="X3" s="40">
        <f>'整備の現状、人口見通し'!Y14*汚水量原単位!$C4/1000</f>
        <v>3274.97</v>
      </c>
      <c r="Y3" s="40">
        <f>'整備の現状、人口見通し'!Z14*汚水量原単位!$C4/1000</f>
        <v>3207.4</v>
      </c>
      <c r="Z3" s="40">
        <f>'整備の現状、人口見通し'!AA14*汚水量原単位!$C4/1000</f>
        <v>3136.93</v>
      </c>
      <c r="AA3" s="40">
        <f>'整備の現状、人口見通し'!AB14*汚水量原単位!$C4/1000</f>
        <v>3063.85</v>
      </c>
      <c r="AB3" s="40">
        <f>'整備の現状、人口見通し'!AC14*汚水量原単位!$C4/1000</f>
        <v>2988.16</v>
      </c>
    </row>
    <row r="4" spans="1:28" ht="20.100000000000001" customHeight="1" x14ac:dyDescent="0.15">
      <c r="A4" s="282"/>
      <c r="B4" s="151" t="s">
        <v>75</v>
      </c>
      <c r="C4" s="4"/>
      <c r="D4" s="13">
        <f>SUM(D5:D7)</f>
        <v>16.625</v>
      </c>
      <c r="E4" s="13">
        <f t="shared" ref="E4:T4" si="0">SUM(E5:E7)</f>
        <v>16.629653333333327</v>
      </c>
      <c r="F4" s="13">
        <f t="shared" si="0"/>
        <v>16.622353333333329</v>
      </c>
      <c r="G4" s="13">
        <f t="shared" si="0"/>
        <v>16.60275</v>
      </c>
      <c r="H4" s="13">
        <f t="shared" si="0"/>
        <v>16.57230333333333</v>
      </c>
      <c r="I4" s="13">
        <f t="shared" si="0"/>
        <v>16.528753333333331</v>
      </c>
      <c r="J4" s="13">
        <f t="shared" si="0"/>
        <v>16.473700000000001</v>
      </c>
      <c r="K4" s="13">
        <f t="shared" si="0"/>
        <v>16.406653333333331</v>
      </c>
      <c r="L4" s="13">
        <f t="shared" si="0"/>
        <v>16.32730333333333</v>
      </c>
      <c r="M4" s="13">
        <f t="shared" si="0"/>
        <v>16.23565</v>
      </c>
      <c r="N4" s="13">
        <f t="shared" si="0"/>
        <v>16.131653333333329</v>
      </c>
      <c r="O4" s="13">
        <f t="shared" si="0"/>
        <v>16.015003333333329</v>
      </c>
      <c r="P4" s="13">
        <f t="shared" si="0"/>
        <v>15.883749999999999</v>
      </c>
      <c r="Q4" s="13">
        <f t="shared" si="0"/>
        <v>15.742103333333329</v>
      </c>
      <c r="R4" s="13">
        <f t="shared" si="0"/>
        <v>15.587003333333328</v>
      </c>
      <c r="S4" s="13">
        <f t="shared" si="0"/>
        <v>15.417750000000002</v>
      </c>
      <c r="T4" s="13">
        <f t="shared" si="0"/>
        <v>15.236153333333331</v>
      </c>
      <c r="U4" s="13">
        <f t="shared" ref="U4:AB4" si="1">SUM(U5:U7)</f>
        <v>15.040753333333329</v>
      </c>
      <c r="V4" s="13">
        <f t="shared" si="1"/>
        <v>14.831199999999999</v>
      </c>
      <c r="W4" s="13">
        <f t="shared" si="1"/>
        <v>14.610103333333331</v>
      </c>
      <c r="X4" s="13">
        <f t="shared" si="1"/>
        <v>14.373703333333328</v>
      </c>
      <c r="Y4" s="13">
        <f t="shared" si="1"/>
        <v>14.1235</v>
      </c>
      <c r="Z4" s="13">
        <f t="shared" si="1"/>
        <v>13.860253333333329</v>
      </c>
      <c r="AA4" s="13">
        <f t="shared" si="1"/>
        <v>13.582853333333331</v>
      </c>
      <c r="AB4" s="13">
        <f t="shared" si="1"/>
        <v>13.290149999999995</v>
      </c>
    </row>
    <row r="5" spans="1:28" ht="20.100000000000001" customHeight="1" x14ac:dyDescent="0.15">
      <c r="A5" s="282"/>
      <c r="B5" s="171"/>
      <c r="C5" s="4" t="s">
        <v>76</v>
      </c>
      <c r="D5" s="13">
        <f>'整備の現状、人口見通し'!E16*汚水量原単位!$C5/1000</f>
        <v>10.44</v>
      </c>
      <c r="E5" s="13">
        <f>'整備の現状、人口見通し'!F16*汚水量原単位!$C5/1000</f>
        <v>10.573109999999998</v>
      </c>
      <c r="F5" s="13">
        <f>'整備の現状、人口見通し'!G16*汚水量原単位!$C5/1000</f>
        <v>10.69839</v>
      </c>
      <c r="G5" s="13">
        <f>'整備の現状、人口見通し'!H16*汚水量原単位!$C5/1000</f>
        <v>10.813229999999999</v>
      </c>
      <c r="H5" s="13">
        <f>'整備の現状、人口見通し'!I16*汚水量原単位!$C5/1000</f>
        <v>10.92024</v>
      </c>
      <c r="I5" s="13">
        <f>'整備の現状、人口見通し'!J16*汚水量原単位!$C5/1000</f>
        <v>11.01942</v>
      </c>
      <c r="J5" s="13">
        <f>'整備の現状、人口見通し'!K16*汚水量原単位!$C5/1000</f>
        <v>11.105549999999999</v>
      </c>
      <c r="K5" s="13">
        <f>'整備の現状、人口見通し'!L16*汚水量原単位!$C5/1000</f>
        <v>11.18385</v>
      </c>
      <c r="L5" s="13">
        <f>'整備の現状、人口見通し'!M16*汚水量原単位!$C5/1000</f>
        <v>11.251709999999999</v>
      </c>
      <c r="M5" s="13">
        <f>'整備の現状、人口見通し'!N16*汚水量原単位!$C5/1000</f>
        <v>11.30913</v>
      </c>
      <c r="N5" s="13">
        <f>'整備の現状、人口見通し'!O16*汚水量原単位!$C5/1000</f>
        <v>11.356109999999999</v>
      </c>
      <c r="O5" s="13">
        <f>'整備の現状、人口見通し'!P16*汚水量原単位!$C5/1000</f>
        <v>11.390039999999999</v>
      </c>
      <c r="P5" s="13">
        <f>'整備の現状、人口見通し'!Q16*汚水量原単位!$C5/1000</f>
        <v>11.413529999999998</v>
      </c>
      <c r="Q5" s="13">
        <f>'整備の現状、人口見通し'!R16*汚水量原単位!$C5/1000</f>
        <v>11.423969999999999</v>
      </c>
      <c r="R5" s="13">
        <f>'整備の現状、人口見通し'!S16*汚水量原単位!$C5/1000</f>
        <v>11.423969999999999</v>
      </c>
      <c r="S5" s="13">
        <f>'整備の現状、人口見通し'!T16*汚水量原単位!$C5/1000</f>
        <v>11.40831</v>
      </c>
      <c r="T5" s="13">
        <f>'整備の現状、人口見通し'!U16*汚水量原単位!$C5/1000</f>
        <v>11.382209999999999</v>
      </c>
      <c r="U5" s="13">
        <f>'整備の現状、人口見通し'!V16*汚水量原単位!$C5/1000</f>
        <v>11.343059999999999</v>
      </c>
      <c r="V5" s="13">
        <f>'整備の現状、人口見通し'!W16*汚水量原単位!$C5/1000</f>
        <v>11.28825</v>
      </c>
      <c r="W5" s="13">
        <f>'整備の現状、人口見通し'!X16*汚水量原単位!$C5/1000</f>
        <v>11.22039</v>
      </c>
      <c r="X5" s="13">
        <f>'整備の現状、人口見通し'!Y16*汚水量原単位!$C5/1000</f>
        <v>11.136869999999998</v>
      </c>
      <c r="Y5" s="13">
        <f>'整備の現状、人口見通し'!Z16*汚水量原単位!$C5/1000</f>
        <v>11.040299999999998</v>
      </c>
      <c r="Z5" s="13">
        <f>'整備の現状、人口見通し'!AA16*汚水量原単位!$C5/1000</f>
        <v>10.92807</v>
      </c>
      <c r="AA5" s="13">
        <f>'整備の現状、人口見通し'!AB16*汚水量原単位!$C5/1000</f>
        <v>10.800180000000001</v>
      </c>
      <c r="AB5" s="13">
        <f>'整備の現状、人口見通し'!AC16*汚水量原単位!$C5/1000</f>
        <v>10.65663</v>
      </c>
    </row>
    <row r="6" spans="1:28" ht="20.100000000000001" customHeight="1" x14ac:dyDescent="0.15">
      <c r="A6" s="282"/>
      <c r="B6" s="171"/>
      <c r="C6" s="5" t="s">
        <v>77</v>
      </c>
      <c r="D6" s="13">
        <f>'整備の現状、人口見通し'!E17*汚水量原単位!$C6/1000</f>
        <v>1.6650000000000003</v>
      </c>
      <c r="E6" s="13">
        <f>'整備の現状、人口見通し'!F17*汚水量原単位!$C6/1000</f>
        <v>1.6239300000000001</v>
      </c>
      <c r="F6" s="13">
        <f>'整備の現状、人口見通し'!G17*汚水量原単位!$C6/1000</f>
        <v>1.5817500000000002</v>
      </c>
      <c r="G6" s="13">
        <f>'整備の現状、人口見通し'!H17*汚水量原単位!$C6/1000</f>
        <v>1.5384599999999999</v>
      </c>
      <c r="H6" s="13">
        <f>'整備の現状、人口見通し'!I17*汚水量原単位!$C6/1000</f>
        <v>1.4951700000000001</v>
      </c>
      <c r="I6" s="13">
        <f>'整備の現状、人口見通し'!J17*汚水量原単位!$C6/1000</f>
        <v>1.4518800000000001</v>
      </c>
      <c r="J6" s="13">
        <f>'整備の現状、人口見通し'!K17*汚水量原単位!$C6/1000</f>
        <v>1.4063700000000001</v>
      </c>
      <c r="K6" s="13">
        <f>'整備の現状、人口見通し'!L17*汚水量原単位!$C6/1000</f>
        <v>1.3619700000000001</v>
      </c>
      <c r="L6" s="13">
        <f>'整備の現状、人口見通し'!M17*汚水量原単位!$C6/1000</f>
        <v>1.31646</v>
      </c>
      <c r="M6" s="13">
        <f>'整備の現状、人口見通し'!N17*汚水量原単位!$C6/1000</f>
        <v>1.2698400000000001</v>
      </c>
      <c r="N6" s="13">
        <f>'整備の現状、人口見通し'!O17*汚水量原単位!$C6/1000</f>
        <v>1.2243300000000001</v>
      </c>
      <c r="O6" s="13">
        <f>'整備の現状、人口見通し'!P17*汚水量原単位!$C6/1000</f>
        <v>1.17771</v>
      </c>
      <c r="P6" s="13">
        <f>'整備の現状、人口見通し'!Q17*汚水量原単位!$C6/1000</f>
        <v>1.1322000000000001</v>
      </c>
      <c r="Q6" s="13">
        <f>'整備の現状、人口見通し'!R17*汚水量原単位!$C6/1000</f>
        <v>1.0855800000000002</v>
      </c>
      <c r="R6" s="13">
        <f>'整備の現状、人口見通し'!S17*汚水量原単位!$C6/1000</f>
        <v>1.0389600000000001</v>
      </c>
      <c r="S6" s="13">
        <f>'整備の現状、人口見通し'!T17*汚水量原単位!$C6/1000</f>
        <v>0.99234</v>
      </c>
      <c r="T6" s="13">
        <f>'整備の現状、人口見通し'!U17*汚水量原単位!$C6/1000</f>
        <v>0.94683000000000006</v>
      </c>
      <c r="U6" s="13">
        <f>'整備の現状、人口見通し'!V17*汚水量原単位!$C6/1000</f>
        <v>0.90132000000000001</v>
      </c>
      <c r="V6" s="13">
        <f>'整備の現状、人口見通し'!W17*汚水量原単位!$C6/1000</f>
        <v>0.85581000000000007</v>
      </c>
      <c r="W6" s="13">
        <f>'整備の現状、人口見通し'!X17*汚水量原単位!$C6/1000</f>
        <v>0.81030000000000002</v>
      </c>
      <c r="X6" s="13">
        <f>'整備の現状、人口見通し'!Y17*汚水量原単位!$C6/1000</f>
        <v>0.76590000000000014</v>
      </c>
      <c r="Y6" s="13">
        <f>'整備の現状、人口見通し'!Z17*汚水量原単位!$C6/1000</f>
        <v>0.72150000000000014</v>
      </c>
      <c r="Z6" s="13">
        <f>'整備の現状、人口見通し'!AA17*汚水量原単位!$C6/1000</f>
        <v>0.67821000000000009</v>
      </c>
      <c r="AA6" s="13">
        <f>'整備の現状、人口見通し'!AB17*汚水量原単位!$C6/1000</f>
        <v>0.63492000000000004</v>
      </c>
      <c r="AB6" s="13">
        <f>'整備の現状、人口見通し'!AC17*汚水量原単位!$C6/1000</f>
        <v>0.59274000000000004</v>
      </c>
    </row>
    <row r="7" spans="1:28" ht="20.100000000000001" customHeight="1" x14ac:dyDescent="0.15">
      <c r="A7" s="282"/>
      <c r="B7" s="3"/>
      <c r="C7" s="5" t="s">
        <v>78</v>
      </c>
      <c r="D7" s="13">
        <f>'整備の現状、人口見通し'!E18*汚水量原単位!$C7/1000</f>
        <v>4.5199999999999996</v>
      </c>
      <c r="E7" s="13">
        <f>'整備の現状、人口見通し'!F18*汚水量原単位!$C7/1000</f>
        <v>4.4326133333333297</v>
      </c>
      <c r="F7" s="13">
        <f>'整備の現状、人口見通し'!G18*汚水量原単位!$C7/1000</f>
        <v>4.3422133333333308</v>
      </c>
      <c r="G7" s="13">
        <f>'整備の現状、人口見通し'!H18*汚水量原単位!$C7/1000</f>
        <v>4.2510599999999998</v>
      </c>
      <c r="H7" s="13">
        <f>'整備の現状、人口見通し'!I18*汚水量原単位!$C7/1000</f>
        <v>4.15689333333333</v>
      </c>
      <c r="I7" s="13">
        <f>'整備の現状、人口見通し'!J18*汚水量原単位!$C7/1000</f>
        <v>4.0574533333333305</v>
      </c>
      <c r="J7" s="13">
        <f>'整備の現状、人口見通し'!K18*汚水量原単位!$C7/1000</f>
        <v>3.9617799999999996</v>
      </c>
      <c r="K7" s="13">
        <f>'整備の現状、人口見通し'!L18*汚水量原単位!$C7/1000</f>
        <v>3.8608333333333302</v>
      </c>
      <c r="L7" s="13">
        <f>'整備の現状、人口見通し'!M18*汚水量原単位!$C7/1000</f>
        <v>3.7591333333333301</v>
      </c>
      <c r="M7" s="13">
        <f>'整備の現状、人口見通し'!N18*汚水量原単位!$C7/1000</f>
        <v>3.6566799999999997</v>
      </c>
      <c r="N7" s="13">
        <f>'整備の現状、人口見通し'!O18*汚水量原単位!$C7/1000</f>
        <v>3.5512133333333304</v>
      </c>
      <c r="O7" s="13">
        <f>'整備の現状、人口見通し'!P18*汚水量原単位!$C7/1000</f>
        <v>3.4472533333333302</v>
      </c>
      <c r="P7" s="13">
        <f>'整備の現状、人口見通し'!Q18*汚水量原単位!$C7/1000</f>
        <v>3.3380199999999993</v>
      </c>
      <c r="Q7" s="13">
        <f>'整備の現状、人口見通し'!R18*汚水量原単位!$C7/1000</f>
        <v>3.2325533333333301</v>
      </c>
      <c r="R7" s="13">
        <f>'整備の現状、人口見通し'!S18*汚水量原単位!$C7/1000</f>
        <v>3.1240733333333299</v>
      </c>
      <c r="S7" s="13">
        <f>'整備の現状、人口見通し'!T18*汚水量原単位!$C7/1000</f>
        <v>3.0171000000000001</v>
      </c>
      <c r="T7" s="13">
        <f>'整備の現状、人口見通し'!U18*汚水量原単位!$C7/1000</f>
        <v>2.9071133333333306</v>
      </c>
      <c r="U7" s="13">
        <f>'整備の現状、人口見通し'!V18*汚水量原単位!$C7/1000</f>
        <v>2.7963733333333303</v>
      </c>
      <c r="V7" s="13">
        <f>'整備の現状、人口見通し'!W18*汚水量原単位!$C7/1000</f>
        <v>2.6871399999999999</v>
      </c>
      <c r="W7" s="13">
        <f>'整備の現状、人口見通し'!X18*汚水量原単位!$C7/1000</f>
        <v>2.5794133333333304</v>
      </c>
      <c r="X7" s="13">
        <f>'整備の現状、人口見通し'!Y18*汚水量原単位!$C7/1000</f>
        <v>2.4709333333333303</v>
      </c>
      <c r="Y7" s="13">
        <f>'整備の現状、人口見通し'!Z18*汚水量原単位!$C7/1000</f>
        <v>2.3616999999999999</v>
      </c>
      <c r="Z7" s="13">
        <f>'整備の現状、人口見通し'!AA18*汚水量原単位!$C7/1000</f>
        <v>2.2539733333333301</v>
      </c>
      <c r="AA7" s="13">
        <f>'整備の現状、人口見通し'!AB18*汚水量原単位!$C7/1000</f>
        <v>2.1477533333333305</v>
      </c>
      <c r="AB7" s="13">
        <f>'整備の現状、人口見通し'!AC18*汚水量原単位!$C7/1000</f>
        <v>2.0407799999999958</v>
      </c>
    </row>
    <row r="8" spans="1:28" ht="20.100000000000001" customHeight="1" x14ac:dyDescent="0.15"/>
    <row r="11" spans="1:28" ht="14.25" thickBot="1" x14ac:dyDescent="0.2">
      <c r="A11" s="298" t="s">
        <v>72</v>
      </c>
      <c r="B11" s="299"/>
      <c r="C11" s="300"/>
      <c r="D11" s="196" t="s">
        <v>12</v>
      </c>
      <c r="E11" s="196">
        <v>2</v>
      </c>
      <c r="F11" s="196">
        <v>3</v>
      </c>
      <c r="G11" s="196">
        <v>4</v>
      </c>
      <c r="H11" s="196">
        <v>5</v>
      </c>
      <c r="I11" s="196">
        <v>6</v>
      </c>
      <c r="J11" s="196">
        <v>7</v>
      </c>
      <c r="K11" s="196">
        <v>8</v>
      </c>
      <c r="L11" s="196">
        <v>9</v>
      </c>
      <c r="M11" s="196">
        <v>10</v>
      </c>
      <c r="N11" s="196">
        <v>11</v>
      </c>
      <c r="O11" s="196">
        <v>12</v>
      </c>
      <c r="P11" s="196">
        <v>13</v>
      </c>
      <c r="Q11" s="196">
        <v>14</v>
      </c>
      <c r="R11" s="196">
        <v>15</v>
      </c>
      <c r="S11" s="196">
        <v>16</v>
      </c>
      <c r="T11" s="196">
        <v>17</v>
      </c>
      <c r="U11" s="196">
        <v>18</v>
      </c>
      <c r="V11" s="196">
        <v>19</v>
      </c>
      <c r="W11" s="196">
        <v>20</v>
      </c>
      <c r="X11" s="196">
        <v>21</v>
      </c>
      <c r="Y11" s="196">
        <v>22</v>
      </c>
      <c r="Z11" s="196">
        <v>23</v>
      </c>
      <c r="AA11" s="196">
        <v>24</v>
      </c>
      <c r="AB11" s="196">
        <v>25</v>
      </c>
    </row>
    <row r="12" spans="1:28" ht="14.25" customHeight="1" thickTop="1" x14ac:dyDescent="0.15">
      <c r="A12" s="302" t="s">
        <v>79</v>
      </c>
      <c r="B12" s="3" t="s">
        <v>80</v>
      </c>
      <c r="C12" s="3"/>
      <c r="D12" s="30">
        <f>D3*'下水、し尿等の水質'!$C$14/1000</f>
        <v>852.6</v>
      </c>
      <c r="E12" s="30">
        <f>E3*'下水、し尿等の水質'!$C$14/1000</f>
        <v>849.7376999999999</v>
      </c>
      <c r="F12" s="30">
        <f>F3*'下水、し尿等の水質'!$C$14/1000</f>
        <v>846.32730000000004</v>
      </c>
      <c r="G12" s="30">
        <f>G3*'下水、し尿等の水質'!$C$14/1000</f>
        <v>842.36880000000008</v>
      </c>
      <c r="H12" s="30">
        <f>H3*'下水、し尿等の水質'!$C$14/1000</f>
        <v>837.80130000000008</v>
      </c>
      <c r="I12" s="30">
        <f>I3*'下水、し尿等の水質'!$C$14/1000</f>
        <v>832.68570000000011</v>
      </c>
      <c r="J12" s="30">
        <f>J3*'下水、し尿等の水質'!$C$14/1000</f>
        <v>827.02200000000005</v>
      </c>
      <c r="K12" s="30">
        <f>K3*'下水、し尿等の水質'!$C$14/1000</f>
        <v>820.74929999999995</v>
      </c>
      <c r="L12" s="30">
        <f>L3*'下水、し尿等の水質'!$C$14/1000</f>
        <v>813.92849999999999</v>
      </c>
      <c r="M12" s="30">
        <f>M3*'下水、し尿等の水質'!$C$14/1000</f>
        <v>806.55960000000005</v>
      </c>
      <c r="N12" s="30">
        <f>N3*'下水、し尿等の水質'!$C$14/1000</f>
        <v>798.58169999999996</v>
      </c>
      <c r="O12" s="30">
        <f>O3*'下水、し尿等の水質'!$C$14/1000</f>
        <v>790.05570000000012</v>
      </c>
      <c r="P12" s="30">
        <f>P3*'下水、し尿等の水質'!$C$14/1000</f>
        <v>780.98159999999996</v>
      </c>
      <c r="Q12" s="30">
        <f>Q3*'下水、し尿等の水質'!$C$14/1000</f>
        <v>771.29849999999999</v>
      </c>
      <c r="R12" s="30">
        <f>R3*'下水、し尿等の水質'!$C$14/1000</f>
        <v>761.06730000000005</v>
      </c>
      <c r="S12" s="30">
        <f>S3*'下水、し尿等の水質'!$C$14/1000</f>
        <v>750.28800000000001</v>
      </c>
      <c r="T12" s="30">
        <f>T3*'下水、し尿等の水質'!$C$14/1000</f>
        <v>738.89970000000005</v>
      </c>
      <c r="U12" s="30">
        <f>U3*'下水、し尿等の水質'!$C$14/1000</f>
        <v>726.9633</v>
      </c>
      <c r="V12" s="30">
        <f>V3*'下水、し尿等の水質'!$C$14/1000</f>
        <v>714.47880000000009</v>
      </c>
      <c r="W12" s="30">
        <f>W3*'下水、し尿等の水質'!$C$14/1000</f>
        <v>701.38529999999992</v>
      </c>
      <c r="X12" s="30">
        <f>X3*'下水、し尿等の水質'!$C$14/1000</f>
        <v>687.74369999999999</v>
      </c>
      <c r="Y12" s="30">
        <f>Y3*'下水、し尿等の水質'!$C$14/1000</f>
        <v>673.55399999999997</v>
      </c>
      <c r="Z12" s="30">
        <f>Z3*'下水、し尿等の水質'!$C$14/1000</f>
        <v>658.75529999999992</v>
      </c>
      <c r="AA12" s="30">
        <f>AA3*'下水、し尿等の水質'!$C$14/1000</f>
        <v>643.4085</v>
      </c>
      <c r="AB12" s="30">
        <f>AB3*'下水、し尿等の水質'!$C$14/1000</f>
        <v>627.5136</v>
      </c>
    </row>
    <row r="13" spans="1:28" x14ac:dyDescent="0.15">
      <c r="A13" s="303"/>
      <c r="B13" s="151" t="s">
        <v>81</v>
      </c>
      <c r="C13" s="4"/>
      <c r="D13" s="30">
        <f>SUM(D14:D16)</f>
        <v>80.044499999999999</v>
      </c>
      <c r="E13" s="30">
        <f t="shared" ref="E13:AB13" si="2">SUM(E14:E16)</f>
        <v>79.703431999999964</v>
      </c>
      <c r="F13" s="30">
        <f t="shared" si="2"/>
        <v>79.305781999999979</v>
      </c>
      <c r="G13" s="30">
        <f t="shared" si="2"/>
        <v>78.859521000000001</v>
      </c>
      <c r="H13" s="30">
        <f t="shared" si="2"/>
        <v>78.360784999999964</v>
      </c>
      <c r="I13" s="30">
        <f t="shared" si="2"/>
        <v>77.791945999999967</v>
      </c>
      <c r="J13" s="30">
        <f t="shared" si="2"/>
        <v>77.195988</v>
      </c>
      <c r="K13" s="30">
        <f t="shared" si="2"/>
        <v>76.534033999999977</v>
      </c>
      <c r="L13" s="30">
        <f t="shared" si="2"/>
        <v>75.823468999999974</v>
      </c>
      <c r="M13" s="30">
        <f t="shared" si="2"/>
        <v>75.064292999999992</v>
      </c>
      <c r="N13" s="30">
        <f t="shared" si="2"/>
        <v>74.247091999999981</v>
      </c>
      <c r="O13" s="30">
        <f t="shared" si="2"/>
        <v>73.389250999999973</v>
      </c>
      <c r="P13" s="30">
        <f t="shared" si="2"/>
        <v>72.455756999999991</v>
      </c>
      <c r="Q13" s="30">
        <f t="shared" si="2"/>
        <v>71.499250999999987</v>
      </c>
      <c r="R13" s="30">
        <f t="shared" si="2"/>
        <v>70.480612999999977</v>
      </c>
      <c r="S13" s="30">
        <f t="shared" si="2"/>
        <v>69.415785</v>
      </c>
      <c r="T13" s="30">
        <f t="shared" si="2"/>
        <v>68.292931999999979</v>
      </c>
      <c r="U13" s="30">
        <f t="shared" si="2"/>
        <v>67.115917999999979</v>
      </c>
      <c r="V13" s="30">
        <f t="shared" si="2"/>
        <v>65.892713999999998</v>
      </c>
      <c r="W13" s="30">
        <f t="shared" si="2"/>
        <v>64.632976999999968</v>
      </c>
      <c r="X13" s="30">
        <f t="shared" si="2"/>
        <v>63.313528999999974</v>
      </c>
      <c r="Y13" s="30">
        <f t="shared" si="2"/>
        <v>61.939919999999994</v>
      </c>
      <c r="Z13" s="30">
        <f t="shared" si="2"/>
        <v>60.524227999999972</v>
      </c>
      <c r="AA13" s="30">
        <f t="shared" si="2"/>
        <v>59.062345999999977</v>
      </c>
      <c r="AB13" s="30">
        <f t="shared" si="2"/>
        <v>57.540752999999967</v>
      </c>
    </row>
    <row r="14" spans="1:28" x14ac:dyDescent="0.15">
      <c r="A14" s="303"/>
      <c r="B14" s="171"/>
      <c r="C14" s="4" t="s">
        <v>82</v>
      </c>
      <c r="D14" s="30">
        <f>流入水量!D5*'下水、し尿等の水質'!$D$4/1000</f>
        <v>38.628</v>
      </c>
      <c r="E14" s="30">
        <f>流入水量!E5*'下水、し尿等の水質'!$D$4/1000</f>
        <v>39.120506999999989</v>
      </c>
      <c r="F14" s="30">
        <f>流入水量!F5*'下水、し尿等の水質'!$D$4/1000</f>
        <v>39.584043000000001</v>
      </c>
      <c r="G14" s="30">
        <f>流入水量!G5*'下水、し尿等の水質'!$D$4/1000</f>
        <v>40.008950999999996</v>
      </c>
      <c r="H14" s="30">
        <f>流入水量!H5*'下水、し尿等の水質'!$D$4/1000</f>
        <v>40.404888</v>
      </c>
      <c r="I14" s="30">
        <f>流入水量!I5*'下水、し尿等の水質'!$D$4/1000</f>
        <v>40.771853999999998</v>
      </c>
      <c r="J14" s="30">
        <f>流入水量!J5*'下水、し尿等の水質'!$D$4/1000</f>
        <v>41.090534999999996</v>
      </c>
      <c r="K14" s="30">
        <f>流入水量!K5*'下水、し尿等の水質'!$D$4/1000</f>
        <v>41.380244999999995</v>
      </c>
      <c r="L14" s="30">
        <f>流入水量!L5*'下水、し尿等の水質'!$D$4/1000</f>
        <v>41.631326999999999</v>
      </c>
      <c r="M14" s="30">
        <f>流入水量!M5*'下水、し尿等の水質'!$D$4/1000</f>
        <v>41.843780999999993</v>
      </c>
      <c r="N14" s="30">
        <f>流入水量!N5*'下水、し尿等の水質'!$D$4/1000</f>
        <v>42.017606999999998</v>
      </c>
      <c r="O14" s="30">
        <f>流入水量!O5*'下水、し尿等の水質'!$D$4/1000</f>
        <v>42.143147999999997</v>
      </c>
      <c r="P14" s="30">
        <f>流入水量!P5*'下水、し尿等の水質'!$D$4/1000</f>
        <v>42.230060999999992</v>
      </c>
      <c r="Q14" s="30">
        <f>流入水量!Q5*'下水、し尿等の水質'!$D$4/1000</f>
        <v>42.268689000000002</v>
      </c>
      <c r="R14" s="30">
        <f>流入水量!R5*'下水、し尿等の水質'!$D$4/1000</f>
        <v>42.268689000000002</v>
      </c>
      <c r="S14" s="30">
        <f>流入水量!S5*'下水、し尿等の水質'!$D$4/1000</f>
        <v>42.210747000000005</v>
      </c>
      <c r="T14" s="30">
        <f>流入水量!T5*'下水、し尿等の水質'!$D$4/1000</f>
        <v>42.114176999999998</v>
      </c>
      <c r="U14" s="30">
        <f>流入水量!U5*'下水、し尿等の水質'!$D$4/1000</f>
        <v>41.969321999999998</v>
      </c>
      <c r="V14" s="30">
        <f>流入水量!V5*'下水、し尿等の水質'!$D$4/1000</f>
        <v>41.766525000000001</v>
      </c>
      <c r="W14" s="30">
        <f>流入水量!W5*'下水、し尿等の水質'!$D$4/1000</f>
        <v>41.515442999999998</v>
      </c>
      <c r="X14" s="30">
        <f>流入水量!X5*'下水、し尿等の水質'!$D$4/1000</f>
        <v>41.206418999999997</v>
      </c>
      <c r="Y14" s="30">
        <f>流入水量!Y5*'下水、し尿等の水質'!$D$4/1000</f>
        <v>40.849109999999996</v>
      </c>
      <c r="Z14" s="30">
        <f>流入水量!Z5*'下水、し尿等の水質'!$D$4/1000</f>
        <v>40.433858999999998</v>
      </c>
      <c r="AA14" s="30">
        <f>流入水量!AA5*'下水、し尿等の水質'!$D$4/1000</f>
        <v>39.960666000000003</v>
      </c>
      <c r="AB14" s="30">
        <f>流入水量!AB5*'下水、し尿等の水質'!$D$4/1000</f>
        <v>39.429531000000004</v>
      </c>
    </row>
    <row r="15" spans="1:28" x14ac:dyDescent="0.15">
      <c r="A15" s="303"/>
      <c r="B15" s="171"/>
      <c r="C15" s="5" t="s">
        <v>83</v>
      </c>
      <c r="D15" s="30">
        <f>流入水量!D6*'下水、し尿等の水質'!$D$4/1000</f>
        <v>6.1605000000000008</v>
      </c>
      <c r="E15" s="30">
        <f>流入水量!E6*'下水、し尿等の水質'!$D$4/1000</f>
        <v>6.0085410000000001</v>
      </c>
      <c r="F15" s="30">
        <f>流入水量!F6*'下水、し尿等の水質'!$D$4/1000</f>
        <v>5.8524750000000001</v>
      </c>
      <c r="G15" s="30">
        <f>流入水量!G6*'下水、し尿等の水質'!$D$4/1000</f>
        <v>5.6923019999999998</v>
      </c>
      <c r="H15" s="30">
        <f>流入水量!H6*'下水、し尿等の水質'!$D$4/1000</f>
        <v>5.5321290000000012</v>
      </c>
      <c r="I15" s="30">
        <f>流入水量!I6*'下水、し尿等の水質'!$D$4/1000</f>
        <v>5.371956</v>
      </c>
      <c r="J15" s="30">
        <f>流入水量!J6*'下水、し尿等の水質'!$D$4/1000</f>
        <v>5.2035690000000008</v>
      </c>
      <c r="K15" s="30">
        <f>流入水量!K6*'下水、し尿等の水質'!$D$4/1000</f>
        <v>5.039289000000001</v>
      </c>
      <c r="L15" s="30">
        <f>流入水量!L6*'下水、し尿等の水質'!$D$4/1000</f>
        <v>4.8709020000000001</v>
      </c>
      <c r="M15" s="30">
        <f>流入水量!M6*'下水、し尿等の水質'!$D$4/1000</f>
        <v>4.6984080000000006</v>
      </c>
      <c r="N15" s="30">
        <f>流入水量!N6*'下水、し尿等の水質'!$D$4/1000</f>
        <v>4.5300210000000005</v>
      </c>
      <c r="O15" s="30">
        <f>流入水量!O6*'下水、し尿等の水質'!$D$4/1000</f>
        <v>4.3575270000000002</v>
      </c>
      <c r="P15" s="30">
        <f>流入水量!P6*'下水、し尿等の水質'!$D$4/1000</f>
        <v>4.1891400000000001</v>
      </c>
      <c r="Q15" s="30">
        <f>流入水量!Q6*'下水、し尿等の水質'!$D$4/1000</f>
        <v>4.0166460000000006</v>
      </c>
      <c r="R15" s="30">
        <f>流入水量!R6*'下水、し尿等の水質'!$D$4/1000</f>
        <v>3.8441520000000007</v>
      </c>
      <c r="S15" s="30">
        <f>流入水量!S6*'下水、し尿等の水質'!$D$4/1000</f>
        <v>3.6716579999999999</v>
      </c>
      <c r="T15" s="30">
        <f>流入水量!T6*'下水、し尿等の水質'!$D$4/1000</f>
        <v>3.5032710000000002</v>
      </c>
      <c r="U15" s="30">
        <f>流入水量!U6*'下水、し尿等の水質'!$D$4/1000</f>
        <v>3.3348840000000002</v>
      </c>
      <c r="V15" s="30">
        <f>流入水量!V6*'下水、し尿等の水質'!$D$4/1000</f>
        <v>3.1664970000000001</v>
      </c>
      <c r="W15" s="30">
        <f>流入水量!W6*'下水、し尿等の水質'!$D$4/1000</f>
        <v>2.9981100000000001</v>
      </c>
      <c r="X15" s="30">
        <f>流入水量!X6*'下水、し尿等の水質'!$D$4/1000</f>
        <v>2.8338300000000003</v>
      </c>
      <c r="Y15" s="30">
        <f>流入水量!Y6*'下水、し尿等の水質'!$D$4/1000</f>
        <v>2.6695500000000005</v>
      </c>
      <c r="Z15" s="30">
        <f>流入水量!Z6*'下水、し尿等の水質'!$D$4/1000</f>
        <v>2.5093770000000002</v>
      </c>
      <c r="AA15" s="30">
        <f>流入水量!AA6*'下水、し尿等の水質'!$D$4/1000</f>
        <v>2.3492040000000003</v>
      </c>
      <c r="AB15" s="30">
        <f>流入水量!AB6*'下水、し尿等の水質'!$D$4/1000</f>
        <v>2.1931380000000003</v>
      </c>
    </row>
    <row r="16" spans="1:28" x14ac:dyDescent="0.15">
      <c r="A16" s="301"/>
      <c r="B16" s="3"/>
      <c r="C16" s="5" t="s">
        <v>84</v>
      </c>
      <c r="D16" s="30">
        <f>流入水量!D7*'下水、し尿等の水質'!$C$4/1000</f>
        <v>35.256</v>
      </c>
      <c r="E16" s="30">
        <f>流入水量!E7*'下水、し尿等の水質'!$C$4/1000</f>
        <v>34.574383999999966</v>
      </c>
      <c r="F16" s="30">
        <f>流入水量!F7*'下水、し尿等の水質'!$C$4/1000</f>
        <v>33.86926399999998</v>
      </c>
      <c r="G16" s="30">
        <f>流入水量!G7*'下水、し尿等の水質'!$C$4/1000</f>
        <v>33.158268</v>
      </c>
      <c r="H16" s="30">
        <f>流入水量!H7*'下水、し尿等の水質'!$C$4/1000</f>
        <v>32.423767999999974</v>
      </c>
      <c r="I16" s="30">
        <f>流入水量!I7*'下水、し尿等の水質'!$C$4/1000</f>
        <v>31.648135999999976</v>
      </c>
      <c r="J16" s="30">
        <f>流入水量!J7*'下水、し尿等の水質'!$C$4/1000</f>
        <v>30.901883999999999</v>
      </c>
      <c r="K16" s="30">
        <f>流入水量!K7*'下水、し尿等の水質'!$C$4/1000</f>
        <v>30.114499999999975</v>
      </c>
      <c r="L16" s="30">
        <f>流入水量!L7*'下水、し尿等の水質'!$C$4/1000</f>
        <v>29.321239999999975</v>
      </c>
      <c r="M16" s="30">
        <f>流入水量!M7*'下水、し尿等の水質'!$C$4/1000</f>
        <v>28.522103999999999</v>
      </c>
      <c r="N16" s="30">
        <f>流入水量!N7*'下水、し尿等の水質'!$C$4/1000</f>
        <v>27.699463999999978</v>
      </c>
      <c r="O16" s="30">
        <f>流入水量!O7*'下水、し尿等の水質'!$C$4/1000</f>
        <v>26.888575999999976</v>
      </c>
      <c r="P16" s="30">
        <f>流入水量!P7*'下水、し尿等の水質'!$C$4/1000</f>
        <v>26.036555999999994</v>
      </c>
      <c r="Q16" s="30">
        <f>流入水量!Q7*'下水、し尿等の水質'!$C$4/1000</f>
        <v>25.213915999999976</v>
      </c>
      <c r="R16" s="30">
        <f>流入水量!R7*'下水、し尿等の水質'!$C$4/1000</f>
        <v>24.36777199999997</v>
      </c>
      <c r="S16" s="30">
        <f>流入水量!S7*'下水、し尿等の水質'!$C$4/1000</f>
        <v>23.533380000000001</v>
      </c>
      <c r="T16" s="30">
        <f>流入水量!T7*'下水、し尿等の水質'!$C$4/1000</f>
        <v>22.67548399999998</v>
      </c>
      <c r="U16" s="30">
        <f>流入水量!U7*'下水、し尿等の水質'!$C$4/1000</f>
        <v>21.811711999999979</v>
      </c>
      <c r="V16" s="30">
        <f>流入水量!V7*'下水、し尿等の水質'!$C$4/1000</f>
        <v>20.959692</v>
      </c>
      <c r="W16" s="30">
        <f>流入水量!W7*'下水、し尿等の水質'!$C$4/1000</f>
        <v>20.119423999999977</v>
      </c>
      <c r="X16" s="30">
        <f>流入水量!X7*'下水、し尿等の水質'!$C$4/1000</f>
        <v>19.273279999999978</v>
      </c>
      <c r="Y16" s="30">
        <f>流入水量!Y7*'下水、し尿等の水質'!$C$4/1000</f>
        <v>18.421259999999997</v>
      </c>
      <c r="Z16" s="30">
        <f>流入水量!Z7*'下水、し尿等の水質'!$C$4/1000</f>
        <v>17.580991999999974</v>
      </c>
      <c r="AA16" s="30">
        <f>流入水量!AA7*'下水、し尿等の水質'!$C$4/1000</f>
        <v>16.752475999999977</v>
      </c>
      <c r="AB16" s="30">
        <f>流入水量!AB7*'下水、し尿等の水質'!$C$4/1000</f>
        <v>15.918083999999968</v>
      </c>
    </row>
  </sheetData>
  <mergeCells count="4">
    <mergeCell ref="A2:C2"/>
    <mergeCell ref="A11:C11"/>
    <mergeCell ref="A3:A7"/>
    <mergeCell ref="A12:A16"/>
  </mergeCells>
  <phoneticPr fontId="26"/>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基礎情報</vt:lpstr>
      <vt:lpstr>行政人口の見通し</vt:lpstr>
      <vt:lpstr>整備の現状、人口見通し</vt:lpstr>
      <vt:lpstr>処理能力と稼働率</vt:lpstr>
      <vt:lpstr>維持管理費等</vt:lpstr>
      <vt:lpstr>更新時期</vt:lpstr>
      <vt:lpstr>下水、し尿等の水質</vt:lpstr>
      <vt:lpstr>汚水量原単位</vt:lpstr>
      <vt:lpstr>流入水量</vt:lpstr>
      <vt:lpstr>将来フレーム</vt:lpstr>
      <vt:lpstr>希釈倍率</vt:lpstr>
      <vt:lpstr>経済性比較、エネルギー、GHG</vt:lpstr>
      <vt:lpstr>簡易的な汚泥処理能力確認</vt:lpstr>
      <vt:lpstr>返流水負荷の計算表</vt:lpstr>
      <vt:lpstr>'経済性比較、エネルギー、GHG'!Print_Area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国土技術政策総合研究所</dc:creator>
  <cp:lastPrinted>2019-05-17T01:34:11Z</cp:lastPrinted>
  <dcterms:created xsi:type="dcterms:W3CDTF">2016-11-07T08:36:00Z</dcterms:created>
  <dcterms:modified xsi:type="dcterms:W3CDTF">2019-07-19T00:51:28Z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