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GESUISHORI-PC\gesuishori2015\個人の部屋\41石川の部屋\技術資料（汚水処理システム効率化）\07検討例エクセルシート\"/>
    </mc:Choice>
  </mc:AlternateContent>
  <bookViews>
    <workbookView xWindow="0" yWindow="0" windowWidth="24000" windowHeight="9900"/>
  </bookViews>
  <sheets>
    <sheet name="基礎情報" sheetId="1" r:id="rId1"/>
    <sheet name="行政人口の見通し" sheetId="2" r:id="rId2"/>
    <sheet name="整備の現状、人口見通し" sheetId="3" r:id="rId3"/>
    <sheet name="処理能力と稼働率" sheetId="7" r:id="rId4"/>
    <sheet name="維持管理費等" sheetId="8" r:id="rId5"/>
    <sheet name="更新時期" sheetId="23" r:id="rId6"/>
    <sheet name="汚水量原単位" sheetId="4" r:id="rId7"/>
    <sheet name="下水の流入水質" sheetId="10" r:id="rId8"/>
    <sheet name="流入水量" sheetId="6" r:id="rId9"/>
    <sheet name="将来フレーム" sheetId="9" r:id="rId10"/>
    <sheet name="経済性比較、エネルギー、GHG" sheetId="11" r:id="rId11"/>
    <sheet name="簡易的な汚泥処理施設能力確認" sheetId="21" r:id="rId12"/>
  </sheets>
  <definedNames>
    <definedName name="_xlnm.Print_Area" localSheetId="10">'経済性比較、エネルギー、GHG'!$A$1:$AE$167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E8" i="7" l="1"/>
  <c r="E7" i="7"/>
  <c r="I77" i="11" l="1"/>
  <c r="I7" i="21" l="1"/>
  <c r="C59" i="11" l="1"/>
  <c r="E4" i="3" l="1"/>
  <c r="C6" i="11" l="1"/>
  <c r="E6" i="11"/>
  <c r="F12" i="8"/>
  <c r="F4" i="2" l="1"/>
  <c r="G4" i="2" s="1"/>
  <c r="H4" i="2" s="1"/>
  <c r="I4" i="2" s="1"/>
  <c r="J4" i="2" s="1"/>
  <c r="K4" i="2" s="1"/>
  <c r="L4" i="2" s="1"/>
  <c r="M4" i="2" s="1"/>
  <c r="N4" i="2" s="1"/>
  <c r="O4" i="2" s="1"/>
  <c r="P4" i="2" s="1"/>
  <c r="Q4" i="2" s="1"/>
  <c r="R4" i="2" s="1"/>
  <c r="S4" i="2" s="1"/>
  <c r="T4" i="2" s="1"/>
  <c r="U4" i="2" s="1"/>
  <c r="V4" i="2" s="1"/>
  <c r="W4" i="2" s="1"/>
  <c r="X4" i="2" s="1"/>
  <c r="Y4" i="2" s="1"/>
  <c r="Z4" i="2" s="1"/>
  <c r="AA4" i="2" s="1"/>
  <c r="AB4" i="2" s="1"/>
  <c r="AC4" i="2" s="1"/>
  <c r="K6" i="11" l="1"/>
  <c r="M6" i="11"/>
  <c r="AD77" i="11"/>
  <c r="J78" i="11" l="1"/>
  <c r="D4" i="4" l="1"/>
  <c r="E3" i="3" l="1"/>
  <c r="F6" i="3" s="1"/>
  <c r="F5" i="3" l="1"/>
  <c r="K78" i="11" l="1"/>
  <c r="E5" i="11"/>
  <c r="E11" i="11" s="1"/>
  <c r="I11" i="11" l="1"/>
  <c r="G11" i="11"/>
  <c r="F11" i="11"/>
  <c r="J11" i="11"/>
  <c r="L78" i="11"/>
  <c r="F12" i="11"/>
  <c r="E12" i="11"/>
  <c r="M11" i="11"/>
  <c r="I12" i="11"/>
  <c r="I65" i="11"/>
  <c r="E65" i="11"/>
  <c r="F65" i="11"/>
  <c r="H65" i="11"/>
  <c r="G65" i="11"/>
  <c r="H12" i="11"/>
  <c r="N11" i="11"/>
  <c r="G12" i="11"/>
  <c r="L64" i="11"/>
  <c r="H64" i="11"/>
  <c r="O64" i="11"/>
  <c r="J64" i="11"/>
  <c r="I64" i="11"/>
  <c r="K64" i="11"/>
  <c r="G64" i="11"/>
  <c r="N64" i="11"/>
  <c r="F64" i="11"/>
  <c r="M64" i="11"/>
  <c r="E64" i="11"/>
  <c r="L11" i="11"/>
  <c r="H11" i="11"/>
  <c r="O11" i="11"/>
  <c r="K11" i="11"/>
  <c r="M78" i="11" l="1"/>
  <c r="N78" i="11" l="1"/>
  <c r="O78" i="11" l="1"/>
  <c r="P78" i="11" l="1"/>
  <c r="Q78" i="11" l="1"/>
  <c r="R78" i="11" l="1"/>
  <c r="C2" i="9"/>
  <c r="D2" i="9"/>
  <c r="E2" i="9"/>
  <c r="F2" i="9"/>
  <c r="G2" i="9"/>
  <c r="H2" i="9"/>
  <c r="I2" i="9"/>
  <c r="J2" i="9"/>
  <c r="K2" i="9"/>
  <c r="L2" i="9"/>
  <c r="M2" i="9"/>
  <c r="N2" i="9"/>
  <c r="O2" i="9"/>
  <c r="P2" i="9"/>
  <c r="Q2" i="9"/>
  <c r="R2" i="9"/>
  <c r="S2" i="9"/>
  <c r="T2" i="9"/>
  <c r="U2" i="9"/>
  <c r="V2" i="9"/>
  <c r="W2" i="9"/>
  <c r="X2" i="9"/>
  <c r="Y2" i="9"/>
  <c r="Z2" i="9"/>
  <c r="AA2" i="9"/>
  <c r="S78" i="11" l="1"/>
  <c r="D5" i="4"/>
  <c r="E9" i="3"/>
  <c r="E11" i="3"/>
  <c r="D4" i="6" s="1"/>
  <c r="E12" i="3"/>
  <c r="D5" i="6" s="1"/>
  <c r="E10" i="3"/>
  <c r="G9" i="3"/>
  <c r="C5" i="9" l="1"/>
  <c r="E69" i="11"/>
  <c r="E15" i="11"/>
  <c r="G11" i="3"/>
  <c r="F4" i="6" s="1"/>
  <c r="T78" i="11"/>
  <c r="C4" i="9"/>
  <c r="F4" i="3"/>
  <c r="F9" i="3"/>
  <c r="F3" i="3"/>
  <c r="G10" i="3" l="1"/>
  <c r="C8" i="9"/>
  <c r="E14" i="11"/>
  <c r="E123" i="11" s="1"/>
  <c r="E13" i="11"/>
  <c r="E122" i="11" s="1"/>
  <c r="U78" i="11"/>
  <c r="C6" i="9"/>
  <c r="C12" i="9" s="1"/>
  <c r="H9" i="3"/>
  <c r="F12" i="3"/>
  <c r="E5" i="6" s="1"/>
  <c r="G12" i="3"/>
  <c r="F5" i="6" s="1"/>
  <c r="F11" i="3"/>
  <c r="E4" i="6" s="1"/>
  <c r="E4" i="9"/>
  <c r="C11" i="9" l="1"/>
  <c r="C14" i="9"/>
  <c r="F5" i="8"/>
  <c r="D5" i="8"/>
  <c r="E5" i="9"/>
  <c r="G69" i="11"/>
  <c r="G15" i="11"/>
  <c r="C7" i="9"/>
  <c r="C13" i="9" s="1"/>
  <c r="C10" i="9"/>
  <c r="E6" i="8"/>
  <c r="F6" i="8"/>
  <c r="G6" i="8" s="1"/>
  <c r="F118" i="11" s="1"/>
  <c r="G118" i="11" s="1"/>
  <c r="D6" i="8"/>
  <c r="F8" i="7"/>
  <c r="D5" i="9"/>
  <c r="F69" i="11"/>
  <c r="F15" i="11"/>
  <c r="D4" i="9"/>
  <c r="F10" i="3"/>
  <c r="E67" i="11"/>
  <c r="E125" i="11" s="1"/>
  <c r="E17" i="11"/>
  <c r="E16" i="11"/>
  <c r="C9" i="9"/>
  <c r="C15" i="9" s="1"/>
  <c r="E21" i="11"/>
  <c r="E66" i="11"/>
  <c r="E124" i="11" s="1"/>
  <c r="F7" i="7"/>
  <c r="V78" i="11"/>
  <c r="H12" i="3"/>
  <c r="G5" i="6" s="1"/>
  <c r="H11" i="3"/>
  <c r="G4" i="6" s="1"/>
  <c r="I9" i="3"/>
  <c r="E126" i="11" l="1"/>
  <c r="E117" i="11"/>
  <c r="E118" i="11"/>
  <c r="E131" i="11" s="1"/>
  <c r="E135" i="11" s="1"/>
  <c r="E127" i="11"/>
  <c r="H10" i="3"/>
  <c r="D8" i="9"/>
  <c r="F14" i="11"/>
  <c r="F123" i="11" s="1"/>
  <c r="F5" i="9"/>
  <c r="H69" i="11"/>
  <c r="H15" i="11"/>
  <c r="P6" i="11"/>
  <c r="G14" i="11"/>
  <c r="G123" i="11" s="1"/>
  <c r="E8" i="9"/>
  <c r="E5" i="8"/>
  <c r="G5" i="8"/>
  <c r="F117" i="11" s="1"/>
  <c r="G117" i="11" s="1"/>
  <c r="P5" i="11"/>
  <c r="E144" i="11"/>
  <c r="E146" i="11"/>
  <c r="E145" i="11"/>
  <c r="E147" i="11"/>
  <c r="D6" i="9"/>
  <c r="D12" i="9" s="1"/>
  <c r="F13" i="11"/>
  <c r="F122" i="11" s="1"/>
  <c r="E71" i="11"/>
  <c r="E75" i="11"/>
  <c r="E6" i="9"/>
  <c r="E12" i="9" s="1"/>
  <c r="G13" i="11"/>
  <c r="G122" i="11" s="1"/>
  <c r="E70" i="11"/>
  <c r="W78" i="11"/>
  <c r="F4" i="9"/>
  <c r="J9" i="3"/>
  <c r="I11" i="3"/>
  <c r="H4" i="6" s="1"/>
  <c r="I12" i="3"/>
  <c r="H5" i="6" s="1"/>
  <c r="D11" i="9" l="1"/>
  <c r="D14" i="9"/>
  <c r="E11" i="9"/>
  <c r="E14" i="9"/>
  <c r="Q59" i="11"/>
  <c r="E129" i="11"/>
  <c r="E133" i="11"/>
  <c r="E137" i="11" s="1"/>
  <c r="E130" i="11"/>
  <c r="E134" i="11" s="1"/>
  <c r="E128" i="11"/>
  <c r="E132" i="11"/>
  <c r="E136" i="11" s="1"/>
  <c r="H14" i="11"/>
  <c r="H123" i="11" s="1"/>
  <c r="F8" i="9"/>
  <c r="I15" i="11"/>
  <c r="G5" i="9"/>
  <c r="I69" i="11"/>
  <c r="G4" i="9"/>
  <c r="I10" i="3"/>
  <c r="Q58" i="11"/>
  <c r="F16" i="11"/>
  <c r="E9" i="9"/>
  <c r="E15" i="9" s="1"/>
  <c r="D9" i="9"/>
  <c r="D15" i="9" s="1"/>
  <c r="D10" i="9"/>
  <c r="D7" i="9"/>
  <c r="D13" i="9" s="1"/>
  <c r="E10" i="9"/>
  <c r="E7" i="9"/>
  <c r="E13" i="9" s="1"/>
  <c r="F67" i="11"/>
  <c r="F125" i="11" s="1"/>
  <c r="F17" i="11"/>
  <c r="G66" i="11"/>
  <c r="G124" i="11" s="1"/>
  <c r="G16" i="11"/>
  <c r="F6" i="9"/>
  <c r="F12" i="9" s="1"/>
  <c r="H13" i="11"/>
  <c r="H122" i="11" s="1"/>
  <c r="F66" i="11"/>
  <c r="F124" i="11" s="1"/>
  <c r="G67" i="11"/>
  <c r="G125" i="11" s="1"/>
  <c r="G17" i="11"/>
  <c r="X78" i="11"/>
  <c r="J12" i="3"/>
  <c r="I5" i="6" s="1"/>
  <c r="J11" i="3"/>
  <c r="I4" i="6" s="1"/>
  <c r="K9" i="3"/>
  <c r="K12" i="3" s="1"/>
  <c r="J5" i="6" s="1"/>
  <c r="F11" i="9" l="1"/>
  <c r="F14" i="9"/>
  <c r="G126" i="11"/>
  <c r="G130" i="11"/>
  <c r="G134" i="11" s="1"/>
  <c r="E139" i="11"/>
  <c r="G127" i="11"/>
  <c r="G131" i="11"/>
  <c r="G135" i="11" s="1"/>
  <c r="F127" i="11"/>
  <c r="F131" i="11"/>
  <c r="F135" i="11" s="1"/>
  <c r="F18" i="11"/>
  <c r="F126" i="11"/>
  <c r="F130" i="11"/>
  <c r="F134" i="11" s="1"/>
  <c r="E138" i="11"/>
  <c r="G144" i="11"/>
  <c r="G146" i="11"/>
  <c r="H4" i="9"/>
  <c r="J10" i="3"/>
  <c r="J15" i="11"/>
  <c r="H5" i="9"/>
  <c r="J69" i="11"/>
  <c r="K15" i="11"/>
  <c r="I5" i="9"/>
  <c r="K69" i="11"/>
  <c r="I14" i="11"/>
  <c r="I123" i="11" s="1"/>
  <c r="G8" i="9"/>
  <c r="F147" i="11"/>
  <c r="F144" i="11"/>
  <c r="F146" i="11"/>
  <c r="G147" i="11"/>
  <c r="G145" i="11"/>
  <c r="F9" i="9"/>
  <c r="F15" i="9" s="1"/>
  <c r="F19" i="11"/>
  <c r="F21" i="11" s="1"/>
  <c r="F7" i="9"/>
  <c r="F13" i="9" s="1"/>
  <c r="F10" i="9"/>
  <c r="G71" i="11"/>
  <c r="F70" i="11"/>
  <c r="F71" i="11"/>
  <c r="H67" i="11"/>
  <c r="H125" i="11" s="1"/>
  <c r="H17" i="11"/>
  <c r="H66" i="11"/>
  <c r="H124" i="11" s="1"/>
  <c r="H16" i="11"/>
  <c r="G70" i="11"/>
  <c r="G18" i="11"/>
  <c r="G19" i="11"/>
  <c r="G21" i="11" s="1"/>
  <c r="Y78" i="11"/>
  <c r="K11" i="3"/>
  <c r="J4" i="6" s="1"/>
  <c r="L9" i="3"/>
  <c r="G11" i="9" l="1"/>
  <c r="G14" i="9"/>
  <c r="G138" i="11"/>
  <c r="G140" i="11" s="1"/>
  <c r="F138" i="11"/>
  <c r="F140" i="11" s="1"/>
  <c r="H126" i="11"/>
  <c r="H130" i="11"/>
  <c r="H134" i="11" s="1"/>
  <c r="E141" i="11"/>
  <c r="H127" i="11"/>
  <c r="H131" i="11"/>
  <c r="H135" i="11" s="1"/>
  <c r="F129" i="11"/>
  <c r="F133" i="11"/>
  <c r="F137" i="11" s="1"/>
  <c r="F128" i="11"/>
  <c r="F132" i="11"/>
  <c r="F136" i="11" s="1"/>
  <c r="E140" i="11"/>
  <c r="G129" i="11"/>
  <c r="G133" i="11"/>
  <c r="G137" i="11" s="1"/>
  <c r="G128" i="11"/>
  <c r="G132" i="11"/>
  <c r="G136" i="11" s="1"/>
  <c r="H144" i="11"/>
  <c r="F145" i="11"/>
  <c r="I23" i="11"/>
  <c r="J14" i="11"/>
  <c r="J123" i="11" s="1"/>
  <c r="H8" i="9"/>
  <c r="I4" i="9"/>
  <c r="K10" i="3"/>
  <c r="H146" i="11"/>
  <c r="H147" i="11"/>
  <c r="E142" i="11"/>
  <c r="E148" i="11" s="1"/>
  <c r="E143" i="11"/>
  <c r="E149" i="11" s="1"/>
  <c r="H145" i="11"/>
  <c r="G9" i="9"/>
  <c r="G15" i="9" s="1"/>
  <c r="H19" i="11"/>
  <c r="H21" i="11" s="1"/>
  <c r="F73" i="11"/>
  <c r="F75" i="11" s="1"/>
  <c r="H70" i="11"/>
  <c r="H71" i="11"/>
  <c r="G6" i="9"/>
  <c r="G12" i="9" s="1"/>
  <c r="I13" i="11"/>
  <c r="I122" i="11" s="1"/>
  <c r="I67" i="11"/>
  <c r="I125" i="11" s="1"/>
  <c r="I17" i="11"/>
  <c r="H6" i="9"/>
  <c r="H12" i="9" s="1"/>
  <c r="J13" i="11"/>
  <c r="J122" i="11" s="1"/>
  <c r="H18" i="11"/>
  <c r="F72" i="11"/>
  <c r="G72" i="11"/>
  <c r="G73" i="11"/>
  <c r="G75" i="11" s="1"/>
  <c r="Z78" i="11"/>
  <c r="L12" i="3"/>
  <c r="K5" i="6" s="1"/>
  <c r="L11" i="3"/>
  <c r="K4" i="6" s="1"/>
  <c r="M9" i="3"/>
  <c r="H11" i="9" l="1"/>
  <c r="H14" i="9"/>
  <c r="I5" i="21" s="1"/>
  <c r="H138" i="11"/>
  <c r="H140" i="11" s="1"/>
  <c r="F139" i="11"/>
  <c r="H128" i="11"/>
  <c r="H132" i="11"/>
  <c r="H136" i="11" s="1"/>
  <c r="H129" i="11"/>
  <c r="H133" i="11"/>
  <c r="H137" i="11" s="1"/>
  <c r="G139" i="11"/>
  <c r="G141" i="11" s="1"/>
  <c r="I127" i="11"/>
  <c r="I131" i="11"/>
  <c r="I135" i="11" s="1"/>
  <c r="F6" i="11"/>
  <c r="K14" i="11"/>
  <c r="K123" i="11" s="1"/>
  <c r="I8" i="9"/>
  <c r="D6" i="11"/>
  <c r="J21" i="11" s="1"/>
  <c r="J4" i="9"/>
  <c r="L10" i="3"/>
  <c r="L69" i="11"/>
  <c r="L15" i="11"/>
  <c r="J5" i="9"/>
  <c r="I144" i="11"/>
  <c r="J144" i="11"/>
  <c r="G142" i="11"/>
  <c r="G148" i="11" s="1"/>
  <c r="H9" i="9"/>
  <c r="H15" i="9" s="1"/>
  <c r="G10" i="9"/>
  <c r="G7" i="9"/>
  <c r="G13" i="9" s="1"/>
  <c r="H10" i="9"/>
  <c r="H7" i="9"/>
  <c r="H13" i="9" s="1"/>
  <c r="I71" i="11"/>
  <c r="J67" i="11"/>
  <c r="H73" i="11"/>
  <c r="H75" i="11" s="1"/>
  <c r="J66" i="11"/>
  <c r="J16" i="11"/>
  <c r="I19" i="11"/>
  <c r="I21" i="11" s="1"/>
  <c r="I6" i="9"/>
  <c r="I12" i="9" s="1"/>
  <c r="K13" i="11"/>
  <c r="K122" i="11" s="1"/>
  <c r="I66" i="11"/>
  <c r="I124" i="11" s="1"/>
  <c r="I16" i="11"/>
  <c r="F142" i="11"/>
  <c r="F148" i="11" s="1"/>
  <c r="H72" i="11"/>
  <c r="AA78" i="11"/>
  <c r="N9" i="3"/>
  <c r="M12" i="3"/>
  <c r="L5" i="6" s="1"/>
  <c r="M11" i="3"/>
  <c r="L4" i="6" s="1"/>
  <c r="I11" i="9" l="1"/>
  <c r="I14" i="9"/>
  <c r="G143" i="11"/>
  <c r="G149" i="11" s="1"/>
  <c r="J126" i="11"/>
  <c r="J130" i="11"/>
  <c r="J134" i="11" s="1"/>
  <c r="F141" i="11"/>
  <c r="I126" i="11"/>
  <c r="I130" i="11"/>
  <c r="I134" i="11" s="1"/>
  <c r="I129" i="11"/>
  <c r="I133" i="11"/>
  <c r="I137" i="11" s="1"/>
  <c r="H139" i="11"/>
  <c r="H141" i="11" s="1"/>
  <c r="J12" i="11"/>
  <c r="K5" i="9"/>
  <c r="M69" i="11"/>
  <c r="M15" i="11"/>
  <c r="J8" i="9"/>
  <c r="L14" i="11"/>
  <c r="L123" i="11" s="1"/>
  <c r="K4" i="9"/>
  <c r="M10" i="3"/>
  <c r="J146" i="11"/>
  <c r="K144" i="11"/>
  <c r="I147" i="11"/>
  <c r="I145" i="11"/>
  <c r="I146" i="11"/>
  <c r="J68" i="11"/>
  <c r="H142" i="11"/>
  <c r="H148" i="11" s="1"/>
  <c r="I9" i="9"/>
  <c r="I15" i="9" s="1"/>
  <c r="I10" i="9"/>
  <c r="I7" i="9"/>
  <c r="I13" i="9" s="1"/>
  <c r="K66" i="11"/>
  <c r="K16" i="11"/>
  <c r="K67" i="11"/>
  <c r="I18" i="11"/>
  <c r="J18" i="11"/>
  <c r="M12" i="11"/>
  <c r="AA12" i="11"/>
  <c r="Z12" i="11"/>
  <c r="T12" i="11"/>
  <c r="Y12" i="11"/>
  <c r="O12" i="11"/>
  <c r="S12" i="11"/>
  <c r="W12" i="11"/>
  <c r="AB12" i="11"/>
  <c r="U12" i="11"/>
  <c r="V12" i="11"/>
  <c r="L12" i="11"/>
  <c r="N12" i="11"/>
  <c r="X12" i="11"/>
  <c r="K12" i="11"/>
  <c r="AC12" i="11"/>
  <c r="R12" i="11"/>
  <c r="P12" i="11"/>
  <c r="Q12" i="11"/>
  <c r="J6" i="9"/>
  <c r="J12" i="9" s="1"/>
  <c r="L13" i="11"/>
  <c r="L122" i="11" s="1"/>
  <c r="F143" i="11"/>
  <c r="F149" i="11" s="1"/>
  <c r="I70" i="11"/>
  <c r="I73" i="11"/>
  <c r="I75" i="11" s="1"/>
  <c r="AD75" i="11" s="1"/>
  <c r="AB78" i="11"/>
  <c r="N11" i="3"/>
  <c r="M4" i="6" s="1"/>
  <c r="N12" i="3"/>
  <c r="M5" i="6" s="1"/>
  <c r="O9" i="3"/>
  <c r="O11" i="3" s="1"/>
  <c r="N4" i="6" s="1"/>
  <c r="J11" i="9" l="1"/>
  <c r="J14" i="9"/>
  <c r="I128" i="11"/>
  <c r="I132" i="11"/>
  <c r="I136" i="11" s="1"/>
  <c r="K126" i="11"/>
  <c r="K130" i="11"/>
  <c r="K134" i="11" s="1"/>
  <c r="I138" i="11"/>
  <c r="AD137" i="11"/>
  <c r="J70" i="11"/>
  <c r="J124" i="11"/>
  <c r="O10" i="3"/>
  <c r="L5" i="9"/>
  <c r="N69" i="11"/>
  <c r="N15" i="11"/>
  <c r="I6" i="21"/>
  <c r="L4" i="9"/>
  <c r="N10" i="3"/>
  <c r="K8" i="9"/>
  <c r="M14" i="11"/>
  <c r="M123" i="11" s="1"/>
  <c r="K146" i="11"/>
  <c r="K17" i="11"/>
  <c r="H143" i="11"/>
  <c r="H149" i="11" s="1"/>
  <c r="J9" i="9"/>
  <c r="J15" i="9" s="1"/>
  <c r="J17" i="11"/>
  <c r="J10" i="9"/>
  <c r="J7" i="9"/>
  <c r="J13" i="9" s="1"/>
  <c r="K18" i="11"/>
  <c r="L66" i="11"/>
  <c r="L16" i="11"/>
  <c r="K68" i="11"/>
  <c r="K124" i="11" s="1"/>
  <c r="L67" i="11"/>
  <c r="L17" i="11"/>
  <c r="K6" i="9"/>
  <c r="K12" i="9" s="1"/>
  <c r="M13" i="11"/>
  <c r="M122" i="11" s="1"/>
  <c r="I72" i="11"/>
  <c r="AC78" i="11"/>
  <c r="AD78" i="11" s="1"/>
  <c r="O12" i="3"/>
  <c r="N5" i="6" s="1"/>
  <c r="M4" i="9"/>
  <c r="P9" i="3"/>
  <c r="K11" i="9" l="1"/>
  <c r="K14" i="9"/>
  <c r="L127" i="11"/>
  <c r="L131" i="11"/>
  <c r="L135" i="11" s="1"/>
  <c r="Q6" i="11"/>
  <c r="K19" i="11" s="1"/>
  <c r="K21" i="11" s="1"/>
  <c r="J127" i="11"/>
  <c r="J131" i="11"/>
  <c r="J135" i="11" s="1"/>
  <c r="J138" i="11" s="1"/>
  <c r="J140" i="11" s="1"/>
  <c r="J128" i="11"/>
  <c r="J132" i="11"/>
  <c r="J136" i="11" s="1"/>
  <c r="J139" i="11" s="1"/>
  <c r="J141" i="11" s="1"/>
  <c r="L126" i="11"/>
  <c r="L130" i="11"/>
  <c r="L134" i="11" s="1"/>
  <c r="K127" i="11"/>
  <c r="K131" i="11"/>
  <c r="K135" i="11" s="1"/>
  <c r="K138" i="11" s="1"/>
  <c r="K140" i="11" s="1"/>
  <c r="I139" i="11"/>
  <c r="J147" i="11"/>
  <c r="I140" i="11"/>
  <c r="L146" i="11"/>
  <c r="L144" i="11"/>
  <c r="M5" i="9"/>
  <c r="O69" i="11"/>
  <c r="O15" i="11"/>
  <c r="L8" i="9"/>
  <c r="N14" i="11"/>
  <c r="N123" i="11" s="1"/>
  <c r="J145" i="11"/>
  <c r="K145" i="11"/>
  <c r="K147" i="11"/>
  <c r="K9" i="9"/>
  <c r="K15" i="9" s="1"/>
  <c r="K10" i="9"/>
  <c r="K7" i="9"/>
  <c r="K13" i="9" s="1"/>
  <c r="L68" i="11"/>
  <c r="L124" i="11" s="1"/>
  <c r="M66" i="11"/>
  <c r="M16" i="11"/>
  <c r="J72" i="11"/>
  <c r="M67" i="11"/>
  <c r="M17" i="11"/>
  <c r="L6" i="9"/>
  <c r="L12" i="9" s="1"/>
  <c r="N13" i="11"/>
  <c r="N122" i="11" s="1"/>
  <c r="K70" i="11"/>
  <c r="L18" i="11"/>
  <c r="I142" i="11"/>
  <c r="I148" i="11" s="1"/>
  <c r="P11" i="3"/>
  <c r="O4" i="6" s="1"/>
  <c r="P12" i="3"/>
  <c r="O5" i="6" s="1"/>
  <c r="Q9" i="3"/>
  <c r="L11" i="9" l="1"/>
  <c r="L14" i="9"/>
  <c r="M127" i="11"/>
  <c r="M131" i="11"/>
  <c r="M135" i="11" s="1"/>
  <c r="I141" i="11"/>
  <c r="K128" i="11"/>
  <c r="K132" i="11"/>
  <c r="K136" i="11" s="1"/>
  <c r="K139" i="11" s="1"/>
  <c r="K141" i="11" s="1"/>
  <c r="M126" i="11"/>
  <c r="M130" i="11"/>
  <c r="M134" i="11" s="1"/>
  <c r="L138" i="11"/>
  <c r="L140" i="11" s="1"/>
  <c r="M146" i="11"/>
  <c r="N5" i="9"/>
  <c r="P69" i="11"/>
  <c r="P15" i="11"/>
  <c r="O14" i="11"/>
  <c r="O123" i="11" s="1"/>
  <c r="M8" i="9"/>
  <c r="N4" i="9"/>
  <c r="P10" i="3"/>
  <c r="M144" i="11"/>
  <c r="L145" i="11"/>
  <c r="L147" i="11"/>
  <c r="I143" i="11"/>
  <c r="I149" i="11" s="1"/>
  <c r="L19" i="11"/>
  <c r="L21" i="11" s="1"/>
  <c r="L9" i="9"/>
  <c r="L15" i="9" s="1"/>
  <c r="M19" i="11"/>
  <c r="M21" i="11" s="1"/>
  <c r="L10" i="9"/>
  <c r="L7" i="9"/>
  <c r="L13" i="9" s="1"/>
  <c r="AD23" i="11"/>
  <c r="N67" i="11"/>
  <c r="N17" i="11"/>
  <c r="K142" i="11"/>
  <c r="K148" i="11" s="1"/>
  <c r="L70" i="11"/>
  <c r="M6" i="9"/>
  <c r="M12" i="9" s="1"/>
  <c r="O13" i="11"/>
  <c r="O122" i="11" s="1"/>
  <c r="K72" i="11"/>
  <c r="M18" i="11"/>
  <c r="N66" i="11"/>
  <c r="N16" i="11"/>
  <c r="M68" i="11"/>
  <c r="M124" i="11" s="1"/>
  <c r="Q12" i="3"/>
  <c r="P5" i="6" s="1"/>
  <c r="Q11" i="3"/>
  <c r="P4" i="6" s="1"/>
  <c r="R9" i="3"/>
  <c r="M11" i="9" l="1"/>
  <c r="M14" i="9"/>
  <c r="N127" i="11"/>
  <c r="N131" i="11"/>
  <c r="N135" i="11" s="1"/>
  <c r="L128" i="11"/>
  <c r="L132" i="11"/>
  <c r="L136" i="11" s="1"/>
  <c r="L139" i="11" s="1"/>
  <c r="L141" i="11" s="1"/>
  <c r="N126" i="11"/>
  <c r="N130" i="11"/>
  <c r="N134" i="11" s="1"/>
  <c r="M138" i="11"/>
  <c r="M140" i="11" s="1"/>
  <c r="N144" i="11"/>
  <c r="Q15" i="11"/>
  <c r="O5" i="9"/>
  <c r="Q69" i="11"/>
  <c r="O4" i="9"/>
  <c r="Q10" i="3"/>
  <c r="P14" i="11"/>
  <c r="P123" i="11" s="1"/>
  <c r="N8" i="9"/>
  <c r="N146" i="11"/>
  <c r="O146" i="11"/>
  <c r="M147" i="11"/>
  <c r="M145" i="11"/>
  <c r="N68" i="11"/>
  <c r="N124" i="11" s="1"/>
  <c r="M9" i="9"/>
  <c r="M15" i="9" s="1"/>
  <c r="N19" i="11"/>
  <c r="N21" i="11" s="1"/>
  <c r="M10" i="9"/>
  <c r="M7" i="9"/>
  <c r="M13" i="9" s="1"/>
  <c r="N6" i="9"/>
  <c r="N12" i="9" s="1"/>
  <c r="P13" i="11"/>
  <c r="P122" i="11" s="1"/>
  <c r="L142" i="11"/>
  <c r="L148" i="11" s="1"/>
  <c r="O67" i="11"/>
  <c r="O17" i="11"/>
  <c r="L72" i="11"/>
  <c r="J143" i="11"/>
  <c r="J149" i="11" s="1"/>
  <c r="J142" i="11"/>
  <c r="J148" i="11" s="1"/>
  <c r="M70" i="11"/>
  <c r="N18" i="11"/>
  <c r="O66" i="11"/>
  <c r="O16" i="11"/>
  <c r="R11" i="3"/>
  <c r="Q4" i="6" s="1"/>
  <c r="R12" i="3"/>
  <c r="Q5" i="6" s="1"/>
  <c r="S9" i="3"/>
  <c r="N11" i="9" l="1"/>
  <c r="N14" i="9"/>
  <c r="N138" i="11"/>
  <c r="N140" i="11" s="1"/>
  <c r="O127" i="11"/>
  <c r="O131" i="11"/>
  <c r="O135" i="11" s="1"/>
  <c r="O126" i="11"/>
  <c r="O130" i="11"/>
  <c r="O134" i="11" s="1"/>
  <c r="M128" i="11"/>
  <c r="M132" i="11"/>
  <c r="M136" i="11" s="1"/>
  <c r="M139" i="11" s="1"/>
  <c r="M141" i="11" s="1"/>
  <c r="R15" i="11"/>
  <c r="P5" i="9"/>
  <c r="R69" i="11"/>
  <c r="P4" i="9"/>
  <c r="R10" i="3"/>
  <c r="O144" i="11"/>
  <c r="Q14" i="11"/>
  <c r="Q123" i="11" s="1"/>
  <c r="O8" i="9"/>
  <c r="N145" i="11"/>
  <c r="F5" i="11"/>
  <c r="P11" i="11" s="1"/>
  <c r="O22" i="11" s="1"/>
  <c r="N147" i="11"/>
  <c r="N9" i="9"/>
  <c r="N15" i="9" s="1"/>
  <c r="O19" i="11"/>
  <c r="O21" i="11" s="1"/>
  <c r="N10" i="9"/>
  <c r="N7" i="9"/>
  <c r="N13" i="9" s="1"/>
  <c r="P66" i="11"/>
  <c r="P67" i="11"/>
  <c r="P17" i="11"/>
  <c r="O6" i="9"/>
  <c r="O12" i="9" s="1"/>
  <c r="Q13" i="11"/>
  <c r="Q122" i="11" s="1"/>
  <c r="N70" i="11"/>
  <c r="M142" i="11"/>
  <c r="M148" i="11" s="1"/>
  <c r="M72" i="11"/>
  <c r="O18" i="11"/>
  <c r="O68" i="11"/>
  <c r="O124" i="11" s="1"/>
  <c r="S11" i="3"/>
  <c r="R4" i="6" s="1"/>
  <c r="S12" i="3"/>
  <c r="R5" i="6" s="1"/>
  <c r="T9" i="3"/>
  <c r="O11" i="9" l="1"/>
  <c r="O14" i="9"/>
  <c r="N128" i="11"/>
  <c r="N132" i="11"/>
  <c r="N136" i="11" s="1"/>
  <c r="N139" i="11" s="1"/>
  <c r="N141" i="11" s="1"/>
  <c r="O138" i="11"/>
  <c r="O140" i="11" s="1"/>
  <c r="P127" i="11"/>
  <c r="P131" i="11"/>
  <c r="P135" i="11" s="1"/>
  <c r="S15" i="11"/>
  <c r="Q5" i="9"/>
  <c r="S69" i="11"/>
  <c r="Q4" i="9"/>
  <c r="S10" i="3"/>
  <c r="R14" i="11"/>
  <c r="R123" i="11" s="1"/>
  <c r="P8" i="9"/>
  <c r="K143" i="11"/>
  <c r="K149" i="11" s="1"/>
  <c r="O145" i="11"/>
  <c r="Q144" i="11"/>
  <c r="P146" i="11"/>
  <c r="D5" i="11"/>
  <c r="P20" i="11" s="1"/>
  <c r="P144" i="11"/>
  <c r="O9" i="9"/>
  <c r="O15" i="9" s="1"/>
  <c r="O147" i="11"/>
  <c r="P19" i="11"/>
  <c r="P21" i="11" s="1"/>
  <c r="O10" i="9"/>
  <c r="O7" i="9"/>
  <c r="O13" i="9" s="1"/>
  <c r="P6" i="9"/>
  <c r="P12" i="9" s="1"/>
  <c r="R13" i="11"/>
  <c r="R122" i="11" s="1"/>
  <c r="Q66" i="11"/>
  <c r="P68" i="11"/>
  <c r="P124" i="11" s="1"/>
  <c r="N72" i="11"/>
  <c r="Q67" i="11"/>
  <c r="Q17" i="11"/>
  <c r="AC11" i="11"/>
  <c r="U11" i="11"/>
  <c r="X11" i="11"/>
  <c r="Y11" i="11"/>
  <c r="Z11" i="11"/>
  <c r="T11" i="11"/>
  <c r="V11" i="11"/>
  <c r="AA11" i="11"/>
  <c r="W11" i="11"/>
  <c r="Q11" i="11"/>
  <c r="AB11" i="11"/>
  <c r="S11" i="11"/>
  <c r="R11" i="11"/>
  <c r="O70" i="11"/>
  <c r="N142" i="11"/>
  <c r="N148" i="11" s="1"/>
  <c r="T11" i="3"/>
  <c r="S4" i="6" s="1"/>
  <c r="T12" i="3"/>
  <c r="S5" i="6" s="1"/>
  <c r="U9" i="3"/>
  <c r="P11" i="9" l="1"/>
  <c r="P14" i="9"/>
  <c r="O128" i="11"/>
  <c r="O132" i="11"/>
  <c r="O136" i="11" s="1"/>
  <c r="O139" i="11" s="1"/>
  <c r="O141" i="11" s="1"/>
  <c r="Q127" i="11"/>
  <c r="Q131" i="11"/>
  <c r="Q135" i="11" s="1"/>
  <c r="R4" i="9"/>
  <c r="T10" i="3"/>
  <c r="S14" i="11"/>
  <c r="S123" i="11" s="1"/>
  <c r="Q8" i="9"/>
  <c r="T69" i="11"/>
  <c r="T15" i="11"/>
  <c r="R5" i="9"/>
  <c r="Q146" i="11"/>
  <c r="L143" i="11"/>
  <c r="L149" i="11" s="1"/>
  <c r="P147" i="11"/>
  <c r="G5" i="11"/>
  <c r="P64" i="11" s="1"/>
  <c r="O76" i="11" s="1"/>
  <c r="Q68" i="11"/>
  <c r="Q124" i="11" s="1"/>
  <c r="P9" i="9"/>
  <c r="P15" i="9" s="1"/>
  <c r="Q19" i="11"/>
  <c r="Q21" i="11" s="1"/>
  <c r="Q16" i="11"/>
  <c r="P24" i="11"/>
  <c r="P16" i="11"/>
  <c r="P10" i="9"/>
  <c r="P7" i="9"/>
  <c r="P13" i="9" s="1"/>
  <c r="R67" i="11"/>
  <c r="R17" i="11"/>
  <c r="M143" i="11"/>
  <c r="M149" i="11" s="1"/>
  <c r="O142" i="11"/>
  <c r="O148" i="11" s="1"/>
  <c r="R66" i="11"/>
  <c r="R16" i="11"/>
  <c r="Q6" i="9"/>
  <c r="S13" i="11"/>
  <c r="S122" i="11" s="1"/>
  <c r="O72" i="11"/>
  <c r="V9" i="3"/>
  <c r="U12" i="3"/>
  <c r="T5" i="6" s="1"/>
  <c r="U11" i="3"/>
  <c r="T4" i="6" s="1"/>
  <c r="Q10" i="9" l="1"/>
  <c r="Q12" i="9"/>
  <c r="Q11" i="9"/>
  <c r="Q14" i="9"/>
  <c r="R127" i="11"/>
  <c r="R131" i="11"/>
  <c r="R135" i="11" s="1"/>
  <c r="Q126" i="11"/>
  <c r="Q130" i="11"/>
  <c r="Q134" i="11" s="1"/>
  <c r="Q138" i="11" s="1"/>
  <c r="Q140" i="11" s="1"/>
  <c r="R126" i="11"/>
  <c r="R130" i="11"/>
  <c r="R134" i="11" s="1"/>
  <c r="Q5" i="11"/>
  <c r="Q18" i="11" s="1"/>
  <c r="Q20" i="11" s="1"/>
  <c r="P126" i="11"/>
  <c r="P130" i="11"/>
  <c r="P134" i="11" s="1"/>
  <c r="P138" i="11" s="1"/>
  <c r="P140" i="11" s="1"/>
  <c r="S4" i="9"/>
  <c r="U10" i="3"/>
  <c r="R8" i="9"/>
  <c r="T14" i="11"/>
  <c r="T123" i="11" s="1"/>
  <c r="S5" i="9"/>
  <c r="U69" i="11"/>
  <c r="U15" i="11"/>
  <c r="R146" i="11"/>
  <c r="R144" i="11"/>
  <c r="D58" i="11"/>
  <c r="P145" i="11"/>
  <c r="S146" i="11"/>
  <c r="Q7" i="9"/>
  <c r="Q13" i="9" s="1"/>
  <c r="Q147" i="11"/>
  <c r="Q145" i="11"/>
  <c r="Q9" i="9"/>
  <c r="Q15" i="9" s="1"/>
  <c r="R19" i="11"/>
  <c r="R21" i="11" s="1"/>
  <c r="R68" i="11"/>
  <c r="R124" i="11" s="1"/>
  <c r="N143" i="11"/>
  <c r="N149" i="11" s="1"/>
  <c r="S67" i="11"/>
  <c r="S17" i="11"/>
  <c r="S66" i="11"/>
  <c r="S16" i="11"/>
  <c r="R6" i="9"/>
  <c r="R12" i="9" s="1"/>
  <c r="T13" i="11"/>
  <c r="T122" i="11" s="1"/>
  <c r="V11" i="3"/>
  <c r="U4" i="6" s="1"/>
  <c r="V12" i="3"/>
  <c r="U5" i="6" s="1"/>
  <c r="W9" i="3"/>
  <c r="R11" i="9" l="1"/>
  <c r="R14" i="9"/>
  <c r="S18" i="11"/>
  <c r="S20" i="11" s="1"/>
  <c r="S126" i="11"/>
  <c r="S130" i="11"/>
  <c r="S134" i="11" s="1"/>
  <c r="S127" i="11"/>
  <c r="S131" i="11"/>
  <c r="S135" i="11" s="1"/>
  <c r="R138" i="11"/>
  <c r="R140" i="11" s="1"/>
  <c r="S144" i="11"/>
  <c r="S8" i="9"/>
  <c r="U14" i="11"/>
  <c r="U123" i="11" s="1"/>
  <c r="T4" i="9"/>
  <c r="V10" i="3"/>
  <c r="T5" i="9"/>
  <c r="V69" i="11"/>
  <c r="V15" i="11"/>
  <c r="S68" i="11"/>
  <c r="S124" i="11" s="1"/>
  <c r="Q142" i="11"/>
  <c r="Q148" i="11" s="1"/>
  <c r="R147" i="11"/>
  <c r="R145" i="11"/>
  <c r="R9" i="9"/>
  <c r="R15" i="9" s="1"/>
  <c r="R18" i="11"/>
  <c r="R20" i="11" s="1"/>
  <c r="S19" i="11"/>
  <c r="S21" i="11" s="1"/>
  <c r="R10" i="9"/>
  <c r="R7" i="9"/>
  <c r="R13" i="9" s="1"/>
  <c r="O143" i="11"/>
  <c r="O149" i="11" s="1"/>
  <c r="Q24" i="11"/>
  <c r="S6" i="9"/>
  <c r="S12" i="9" s="1"/>
  <c r="U13" i="11"/>
  <c r="U122" i="11" s="1"/>
  <c r="T67" i="11"/>
  <c r="T17" i="11"/>
  <c r="AD22" i="11"/>
  <c r="Q64" i="11"/>
  <c r="Z64" i="11"/>
  <c r="AA64" i="11"/>
  <c r="AB64" i="11"/>
  <c r="W64" i="11"/>
  <c r="R64" i="11"/>
  <c r="Y64" i="11"/>
  <c r="X64" i="11"/>
  <c r="U64" i="11"/>
  <c r="S64" i="11"/>
  <c r="T64" i="11"/>
  <c r="AC64" i="11"/>
  <c r="V64" i="11"/>
  <c r="T66" i="11"/>
  <c r="T16" i="11"/>
  <c r="W12" i="3"/>
  <c r="V5" i="6" s="1"/>
  <c r="W11" i="3"/>
  <c r="V4" i="6" s="1"/>
  <c r="X9" i="3"/>
  <c r="S11" i="9" l="1"/>
  <c r="S14" i="9"/>
  <c r="S138" i="11"/>
  <c r="S140" i="11" s="1"/>
  <c r="T126" i="11"/>
  <c r="T130" i="11"/>
  <c r="T134" i="11" s="1"/>
  <c r="T127" i="11"/>
  <c r="T131" i="11"/>
  <c r="T135" i="11" s="1"/>
  <c r="U5" i="9"/>
  <c r="W69" i="11"/>
  <c r="W15" i="11"/>
  <c r="U4" i="9"/>
  <c r="W10" i="3"/>
  <c r="T8" i="9"/>
  <c r="V14" i="11"/>
  <c r="V123" i="11" s="1"/>
  <c r="T146" i="11"/>
  <c r="U146" i="11"/>
  <c r="T144" i="11"/>
  <c r="S145" i="11"/>
  <c r="S147" i="11"/>
  <c r="S9" i="9"/>
  <c r="S15" i="9" s="1"/>
  <c r="T19" i="11"/>
  <c r="T21" i="11" s="1"/>
  <c r="T18" i="11"/>
  <c r="T20" i="11" s="1"/>
  <c r="P70" i="11"/>
  <c r="P74" i="11"/>
  <c r="S10" i="9"/>
  <c r="S7" i="9"/>
  <c r="S13" i="9" s="1"/>
  <c r="R142" i="11"/>
  <c r="R148" i="11" s="1"/>
  <c r="P142" i="11"/>
  <c r="P148" i="11" s="1"/>
  <c r="Q70" i="11"/>
  <c r="T6" i="9"/>
  <c r="T12" i="9" s="1"/>
  <c r="V13" i="11"/>
  <c r="V122" i="11" s="1"/>
  <c r="U67" i="11"/>
  <c r="U17" i="11"/>
  <c r="R24" i="11"/>
  <c r="U66" i="11"/>
  <c r="U16" i="11"/>
  <c r="R70" i="11"/>
  <c r="T68" i="11"/>
  <c r="T124" i="11" s="1"/>
  <c r="S70" i="11"/>
  <c r="X11" i="3"/>
  <c r="W4" i="6" s="1"/>
  <c r="X12" i="3"/>
  <c r="W5" i="6" s="1"/>
  <c r="Y9" i="3"/>
  <c r="T11" i="9" l="1"/>
  <c r="T14" i="9"/>
  <c r="U126" i="11"/>
  <c r="U130" i="11"/>
  <c r="U134" i="11" s="1"/>
  <c r="Q128" i="11"/>
  <c r="Q132" i="11"/>
  <c r="Q136" i="11" s="1"/>
  <c r="Q139" i="11" s="1"/>
  <c r="Q141" i="11" s="1"/>
  <c r="R128" i="11"/>
  <c r="R132" i="11"/>
  <c r="R136" i="11" s="1"/>
  <c r="R139" i="11" s="1"/>
  <c r="R141" i="11" s="1"/>
  <c r="T138" i="11"/>
  <c r="T140" i="11" s="1"/>
  <c r="S128" i="11"/>
  <c r="S132" i="11"/>
  <c r="S136" i="11" s="1"/>
  <c r="S139" i="11" s="1"/>
  <c r="S141" i="11" s="1"/>
  <c r="R58" i="11"/>
  <c r="Q72" i="11" s="1"/>
  <c r="Q74" i="11" s="1"/>
  <c r="P128" i="11"/>
  <c r="P132" i="11"/>
  <c r="P136" i="11" s="1"/>
  <c r="P139" i="11" s="1"/>
  <c r="P141" i="11" s="1"/>
  <c r="U127" i="11"/>
  <c r="U131" i="11"/>
  <c r="U135" i="11" s="1"/>
  <c r="U144" i="11"/>
  <c r="V5" i="9"/>
  <c r="X69" i="11"/>
  <c r="X15" i="11"/>
  <c r="V4" i="9"/>
  <c r="X10" i="3"/>
  <c r="W14" i="11"/>
  <c r="W123" i="11" s="1"/>
  <c r="U8" i="9"/>
  <c r="T145" i="11"/>
  <c r="T147" i="11"/>
  <c r="T9" i="9"/>
  <c r="T15" i="9" s="1"/>
  <c r="U19" i="11"/>
  <c r="U21" i="11" s="1"/>
  <c r="U18" i="11"/>
  <c r="U20" i="11" s="1"/>
  <c r="AD76" i="11"/>
  <c r="T10" i="9"/>
  <c r="T7" i="9"/>
  <c r="T13" i="9" s="1"/>
  <c r="V66" i="11"/>
  <c r="V16" i="11"/>
  <c r="S24" i="11"/>
  <c r="V67" i="11"/>
  <c r="V17" i="11"/>
  <c r="T70" i="11"/>
  <c r="S142" i="11"/>
  <c r="S148" i="11" s="1"/>
  <c r="U6" i="9"/>
  <c r="U12" i="9" s="1"/>
  <c r="W13" i="11"/>
  <c r="W122" i="11" s="1"/>
  <c r="U68" i="11"/>
  <c r="U124" i="11" s="1"/>
  <c r="Z9" i="3"/>
  <c r="Y11" i="3"/>
  <c r="X4" i="6" s="1"/>
  <c r="Y12" i="3"/>
  <c r="X5" i="6" s="1"/>
  <c r="U11" i="9" l="1"/>
  <c r="U14" i="9"/>
  <c r="V127" i="11"/>
  <c r="V131" i="11"/>
  <c r="V135" i="11" s="1"/>
  <c r="V126" i="11"/>
  <c r="V130" i="11"/>
  <c r="V134" i="11" s="1"/>
  <c r="T128" i="11"/>
  <c r="T132" i="11"/>
  <c r="T136" i="11" s="1"/>
  <c r="T139" i="11" s="1"/>
  <c r="T141" i="11" s="1"/>
  <c r="U138" i="11"/>
  <c r="U140" i="11" s="1"/>
  <c r="V144" i="11"/>
  <c r="X14" i="11"/>
  <c r="X123" i="11" s="1"/>
  <c r="V8" i="9"/>
  <c r="W4" i="9"/>
  <c r="Y10" i="3"/>
  <c r="Y15" i="11"/>
  <c r="W5" i="9"/>
  <c r="Y69" i="11"/>
  <c r="W146" i="11"/>
  <c r="V146" i="11"/>
  <c r="U145" i="11"/>
  <c r="U147" i="11"/>
  <c r="R72" i="11"/>
  <c r="R74" i="11" s="1"/>
  <c r="S72" i="11"/>
  <c r="S74" i="11" s="1"/>
  <c r="U9" i="9"/>
  <c r="U15" i="9" s="1"/>
  <c r="T72" i="11"/>
  <c r="T74" i="11" s="1"/>
  <c r="V19" i="11"/>
  <c r="V21" i="11" s="1"/>
  <c r="V18" i="11"/>
  <c r="V20" i="11" s="1"/>
  <c r="U10" i="9"/>
  <c r="U7" i="9"/>
  <c r="U13" i="9" s="1"/>
  <c r="W67" i="11"/>
  <c r="W17" i="11"/>
  <c r="V68" i="11"/>
  <c r="V124" i="11" s="1"/>
  <c r="T142" i="11"/>
  <c r="T148" i="11" s="1"/>
  <c r="T24" i="11"/>
  <c r="V6" i="9"/>
  <c r="V12" i="9" s="1"/>
  <c r="X13" i="11"/>
  <c r="X122" i="11" s="1"/>
  <c r="U70" i="11"/>
  <c r="W66" i="11"/>
  <c r="W16" i="11"/>
  <c r="Z11" i="3"/>
  <c r="Y4" i="6" s="1"/>
  <c r="Z12" i="3"/>
  <c r="Y5" i="6" s="1"/>
  <c r="AA9" i="3"/>
  <c r="V11" i="9" l="1"/>
  <c r="V14" i="9"/>
  <c r="W127" i="11"/>
  <c r="W131" i="11"/>
  <c r="W135" i="11" s="1"/>
  <c r="U128" i="11"/>
  <c r="U132" i="11"/>
  <c r="U136" i="11" s="1"/>
  <c r="U139" i="11" s="1"/>
  <c r="U141" i="11" s="1"/>
  <c r="V138" i="11"/>
  <c r="V140" i="11" s="1"/>
  <c r="W126" i="11"/>
  <c r="W130" i="11"/>
  <c r="W134" i="11" s="1"/>
  <c r="W144" i="11"/>
  <c r="Y14" i="11"/>
  <c r="Y123" i="11" s="1"/>
  <c r="W8" i="9"/>
  <c r="X4" i="9"/>
  <c r="Z10" i="3"/>
  <c r="Z15" i="11"/>
  <c r="X5" i="9"/>
  <c r="Z69" i="11"/>
  <c r="X146" i="11"/>
  <c r="V145" i="11"/>
  <c r="V147" i="11"/>
  <c r="V9" i="9"/>
  <c r="V15" i="9" s="1"/>
  <c r="U72" i="11"/>
  <c r="U74" i="11" s="1"/>
  <c r="W18" i="11"/>
  <c r="W20" i="11" s="1"/>
  <c r="W19" i="11"/>
  <c r="W21" i="11" s="1"/>
  <c r="V10" i="9"/>
  <c r="V7" i="9"/>
  <c r="V13" i="9" s="1"/>
  <c r="Q143" i="11"/>
  <c r="Q149" i="11" s="1"/>
  <c r="P79" i="11"/>
  <c r="R143" i="11"/>
  <c r="R149" i="11" s="1"/>
  <c r="P143" i="11"/>
  <c r="P149" i="11" s="1"/>
  <c r="W68" i="11"/>
  <c r="W124" i="11" s="1"/>
  <c r="U142" i="11"/>
  <c r="U148" i="11" s="1"/>
  <c r="X67" i="11"/>
  <c r="X17" i="11"/>
  <c r="S79" i="11"/>
  <c r="V70" i="11"/>
  <c r="R79" i="11"/>
  <c r="Q79" i="11"/>
  <c r="W6" i="9"/>
  <c r="W12" i="9" s="1"/>
  <c r="Y13" i="11"/>
  <c r="Y122" i="11" s="1"/>
  <c r="S143" i="11"/>
  <c r="S149" i="11" s="1"/>
  <c r="X66" i="11"/>
  <c r="X16" i="11"/>
  <c r="U24" i="11"/>
  <c r="AC9" i="3"/>
  <c r="AB9" i="3"/>
  <c r="AA11" i="3"/>
  <c r="Z4" i="6" s="1"/>
  <c r="AA12" i="3"/>
  <c r="Z5" i="6" s="1"/>
  <c r="W11" i="9" l="1"/>
  <c r="W14" i="9"/>
  <c r="W138" i="11"/>
  <c r="W140" i="11" s="1"/>
  <c r="V128" i="11"/>
  <c r="V132" i="11"/>
  <c r="V136" i="11" s="1"/>
  <c r="V139" i="11" s="1"/>
  <c r="V141" i="11" s="1"/>
  <c r="X126" i="11"/>
  <c r="X130" i="11"/>
  <c r="X134" i="11" s="1"/>
  <c r="X127" i="11"/>
  <c r="X131" i="11"/>
  <c r="X135" i="11" s="1"/>
  <c r="X144" i="11"/>
  <c r="Y4" i="9"/>
  <c r="AA10" i="3"/>
  <c r="AA15" i="11"/>
  <c r="Y5" i="9"/>
  <c r="AA69" i="11"/>
  <c r="Z14" i="11"/>
  <c r="Z123" i="11" s="1"/>
  <c r="X8" i="9"/>
  <c r="W147" i="11"/>
  <c r="W145" i="11"/>
  <c r="W9" i="9"/>
  <c r="W15" i="9" s="1"/>
  <c r="X18" i="11"/>
  <c r="X20" i="11" s="1"/>
  <c r="V72" i="11"/>
  <c r="V74" i="11" s="1"/>
  <c r="X19" i="11"/>
  <c r="X21" i="11" s="1"/>
  <c r="W10" i="9"/>
  <c r="W7" i="9"/>
  <c r="W13" i="9" s="1"/>
  <c r="V24" i="11"/>
  <c r="Y66" i="11"/>
  <c r="Y16" i="11"/>
  <c r="X6" i="9"/>
  <c r="X12" i="9" s="1"/>
  <c r="Z13" i="11"/>
  <c r="Z122" i="11" s="1"/>
  <c r="W70" i="11"/>
  <c r="X68" i="11"/>
  <c r="X124" i="11" s="1"/>
  <c r="Y67" i="11"/>
  <c r="Y17" i="11"/>
  <c r="T143" i="11"/>
  <c r="T149" i="11" s="1"/>
  <c r="V142" i="11"/>
  <c r="V148" i="11" s="1"/>
  <c r="T79" i="11"/>
  <c r="AB11" i="3"/>
  <c r="AA4" i="6" s="1"/>
  <c r="AB12" i="3"/>
  <c r="AA5" i="6" s="1"/>
  <c r="AC12" i="3"/>
  <c r="AB5" i="6" s="1"/>
  <c r="AC11" i="3"/>
  <c r="AB4" i="6" s="1"/>
  <c r="X11" i="9" l="1"/>
  <c r="X14" i="9"/>
  <c r="X138" i="11"/>
  <c r="X140" i="11" s="1"/>
  <c r="W128" i="11"/>
  <c r="W132" i="11"/>
  <c r="W136" i="11" s="1"/>
  <c r="W139" i="11" s="1"/>
  <c r="W141" i="11" s="1"/>
  <c r="Y127" i="11"/>
  <c r="Y131" i="11"/>
  <c r="Y135" i="11" s="1"/>
  <c r="Y126" i="11"/>
  <c r="Y130" i="11"/>
  <c r="Y134" i="11" s="1"/>
  <c r="Y146" i="11"/>
  <c r="Y144" i="11"/>
  <c r="AB69" i="11"/>
  <c r="AB15" i="11"/>
  <c r="Z5" i="9"/>
  <c r="Z4" i="9"/>
  <c r="AB10" i="3"/>
  <c r="AA5" i="9"/>
  <c r="AC69" i="11"/>
  <c r="AC15" i="11"/>
  <c r="AA14" i="11"/>
  <c r="AA123" i="11" s="1"/>
  <c r="Y8" i="9"/>
  <c r="AA4" i="9"/>
  <c r="AC10" i="3"/>
  <c r="Z146" i="11"/>
  <c r="X147" i="11"/>
  <c r="X145" i="11"/>
  <c r="X9" i="9"/>
  <c r="X15" i="9" s="1"/>
  <c r="Y19" i="11"/>
  <c r="Y21" i="11" s="1"/>
  <c r="W72" i="11"/>
  <c r="W74" i="11" s="1"/>
  <c r="Y18" i="11"/>
  <c r="Y20" i="11" s="1"/>
  <c r="X10" i="9"/>
  <c r="X7" i="9"/>
  <c r="X13" i="9" s="1"/>
  <c r="U79" i="11"/>
  <c r="W24" i="11"/>
  <c r="Z66" i="11"/>
  <c r="Z16" i="11"/>
  <c r="Y68" i="11"/>
  <c r="Y6" i="9"/>
  <c r="Y12" i="9" s="1"/>
  <c r="AA13" i="11"/>
  <c r="AA122" i="11" s="1"/>
  <c r="Z67" i="11"/>
  <c r="Z17" i="11"/>
  <c r="U143" i="11"/>
  <c r="U149" i="11" s="1"/>
  <c r="X70" i="11"/>
  <c r="W142" i="11"/>
  <c r="W148" i="11" s="1"/>
  <c r="Y11" i="9" l="1"/>
  <c r="Y14" i="9"/>
  <c r="Y138" i="11"/>
  <c r="Y140" i="11" s="1"/>
  <c r="Z126" i="11"/>
  <c r="Z130" i="11"/>
  <c r="Z134" i="11" s="1"/>
  <c r="Z127" i="11"/>
  <c r="Z131" i="11"/>
  <c r="Z135" i="11" s="1"/>
  <c r="Y124" i="11"/>
  <c r="X128" i="11"/>
  <c r="X132" i="11"/>
  <c r="X136" i="11" s="1"/>
  <c r="X139" i="11" s="1"/>
  <c r="X141" i="11" s="1"/>
  <c r="Z8" i="9"/>
  <c r="AB14" i="11"/>
  <c r="AB123" i="11" s="1"/>
  <c r="AA8" i="9"/>
  <c r="AC14" i="11"/>
  <c r="AC123" i="11" s="1"/>
  <c r="Z144" i="11"/>
  <c r="AA146" i="11"/>
  <c r="Y9" i="9"/>
  <c r="Y15" i="9" s="1"/>
  <c r="Z18" i="11"/>
  <c r="Z20" i="11" s="1"/>
  <c r="X72" i="11"/>
  <c r="X74" i="11" s="1"/>
  <c r="Z19" i="11"/>
  <c r="Z21" i="11" s="1"/>
  <c r="Y70" i="11"/>
  <c r="Y10" i="9"/>
  <c r="Y7" i="9"/>
  <c r="Y13" i="9" s="1"/>
  <c r="Y24" i="11"/>
  <c r="X142" i="11"/>
  <c r="X148" i="11" s="1"/>
  <c r="Z6" i="9"/>
  <c r="Z12" i="9" s="1"/>
  <c r="AB13" i="11"/>
  <c r="AB122" i="11" s="1"/>
  <c r="V143" i="11"/>
  <c r="V149" i="11" s="1"/>
  <c r="V79" i="11"/>
  <c r="Z68" i="11"/>
  <c r="X24" i="11"/>
  <c r="AA66" i="11"/>
  <c r="AA16" i="11"/>
  <c r="AA67" i="11"/>
  <c r="AA17" i="11"/>
  <c r="AA6" i="9"/>
  <c r="AA12" i="9" s="1"/>
  <c r="AC13" i="11"/>
  <c r="AC122" i="11" s="1"/>
  <c r="Z11" i="9" l="1"/>
  <c r="Z14" i="9"/>
  <c r="AA11" i="9"/>
  <c r="AA14" i="9"/>
  <c r="Y128" i="11"/>
  <c r="Y132" i="11"/>
  <c r="Y136" i="11" s="1"/>
  <c r="Y139" i="11" s="1"/>
  <c r="Y141" i="11" s="1"/>
  <c r="Y147" i="11"/>
  <c r="Z138" i="11"/>
  <c r="Z140" i="11" s="1"/>
  <c r="AA127" i="11"/>
  <c r="AA131" i="11"/>
  <c r="AA135" i="11" s="1"/>
  <c r="AA126" i="11"/>
  <c r="AA130" i="11"/>
  <c r="AA134" i="11" s="1"/>
  <c r="Y145" i="11"/>
  <c r="Z124" i="11"/>
  <c r="Z147" i="11" s="1"/>
  <c r="AA144" i="11"/>
  <c r="AB146" i="11"/>
  <c r="AC16" i="11"/>
  <c r="Y142" i="11"/>
  <c r="Y148" i="11" s="1"/>
  <c r="AA9" i="9"/>
  <c r="AA15" i="9" s="1"/>
  <c r="Z9" i="9"/>
  <c r="Z15" i="9" s="1"/>
  <c r="AA19" i="11"/>
  <c r="AA21" i="11" s="1"/>
  <c r="Y72" i="11"/>
  <c r="Y74" i="11" s="1"/>
  <c r="AA18" i="11"/>
  <c r="AA20" i="11" s="1"/>
  <c r="Z70" i="11"/>
  <c r="Z10" i="9"/>
  <c r="Z7" i="9"/>
  <c r="Z13" i="9" s="1"/>
  <c r="AA10" i="9"/>
  <c r="AA7" i="9"/>
  <c r="AA13" i="9" s="1"/>
  <c r="Z24" i="11"/>
  <c r="W79" i="11"/>
  <c r="AC66" i="11"/>
  <c r="AB67" i="11"/>
  <c r="AB17" i="11"/>
  <c r="AB66" i="11"/>
  <c r="AB16" i="11"/>
  <c r="W143" i="11"/>
  <c r="W149" i="11" s="1"/>
  <c r="AA68" i="11"/>
  <c r="AA124" i="11" s="1"/>
  <c r="AC67" i="11"/>
  <c r="AC17" i="11"/>
  <c r="Z145" i="11" l="1"/>
  <c r="Z128" i="11"/>
  <c r="Z132" i="11"/>
  <c r="Z136" i="11" s="1"/>
  <c r="Z139" i="11" s="1"/>
  <c r="Z141" i="11" s="1"/>
  <c r="AC18" i="11"/>
  <c r="AC20" i="11" s="1"/>
  <c r="AC126" i="11"/>
  <c r="AC130" i="11"/>
  <c r="AC134" i="11" s="1"/>
  <c r="AC127" i="11"/>
  <c r="AC131" i="11"/>
  <c r="AC135" i="11" s="1"/>
  <c r="AA138" i="11"/>
  <c r="AA140" i="11" s="1"/>
  <c r="AB126" i="11"/>
  <c r="AB130" i="11"/>
  <c r="AB134" i="11" s="1"/>
  <c r="AB127" i="11"/>
  <c r="AB131" i="11"/>
  <c r="AB135" i="11" s="1"/>
  <c r="AB144" i="11"/>
  <c r="AC144" i="11"/>
  <c r="AC146" i="11"/>
  <c r="AD146" i="11" s="1"/>
  <c r="AA145" i="11"/>
  <c r="AA147" i="11"/>
  <c r="Y79" i="11"/>
  <c r="Z142" i="11"/>
  <c r="Z148" i="11" s="1"/>
  <c r="AB19" i="11"/>
  <c r="AB21" i="11" s="1"/>
  <c r="Z72" i="11"/>
  <c r="Z74" i="11" s="1"/>
  <c r="Z79" i="11" s="1"/>
  <c r="AC19" i="11"/>
  <c r="AC21" i="11" s="1"/>
  <c r="AB18" i="11"/>
  <c r="AB20" i="11" s="1"/>
  <c r="AA70" i="11"/>
  <c r="AC68" i="11"/>
  <c r="AC124" i="11" s="1"/>
  <c r="AA24" i="11"/>
  <c r="X143" i="11"/>
  <c r="X149" i="11" s="1"/>
  <c r="X79" i="11"/>
  <c r="AB68" i="11"/>
  <c r="AB124" i="11" s="1"/>
  <c r="AD134" i="11" l="1"/>
  <c r="AA142" i="11"/>
  <c r="AA148" i="11" s="1"/>
  <c r="AC138" i="11"/>
  <c r="AD135" i="11"/>
  <c r="AB138" i="11"/>
  <c r="AB140" i="11" s="1"/>
  <c r="AA128" i="11"/>
  <c r="AA132" i="11"/>
  <c r="AA136" i="11" s="1"/>
  <c r="AA139" i="11" s="1"/>
  <c r="AA141" i="11" s="1"/>
  <c r="AD144" i="11"/>
  <c r="AC145" i="11"/>
  <c r="AC147" i="11"/>
  <c r="AB145" i="11"/>
  <c r="AB147" i="11"/>
  <c r="Y143" i="11"/>
  <c r="Y149" i="11" s="1"/>
  <c r="AA72" i="11"/>
  <c r="AA74" i="11" s="1"/>
  <c r="AA79" i="11" s="1"/>
  <c r="AC70" i="11"/>
  <c r="AB70" i="11"/>
  <c r="AB24" i="11"/>
  <c r="AC24" i="11"/>
  <c r="AD21" i="11"/>
  <c r="AB142" i="11" l="1"/>
  <c r="AB148" i="11" s="1"/>
  <c r="AB128" i="11"/>
  <c r="AB132" i="11"/>
  <c r="AB136" i="11" s="1"/>
  <c r="AB139" i="11" s="1"/>
  <c r="AB141" i="11" s="1"/>
  <c r="AC128" i="11"/>
  <c r="AC132" i="11"/>
  <c r="AC136" i="11" s="1"/>
  <c r="AC140" i="11"/>
  <c r="AD140" i="11" s="1"/>
  <c r="AD138" i="11"/>
  <c r="AD145" i="11"/>
  <c r="Z143" i="11"/>
  <c r="Z149" i="11" s="1"/>
  <c r="AC72" i="11"/>
  <c r="AC74" i="11" s="1"/>
  <c r="AB72" i="11"/>
  <c r="AB74" i="11" s="1"/>
  <c r="AD147" i="11"/>
  <c r="AC142" i="11"/>
  <c r="AC148" i="11" s="1"/>
  <c r="AC139" i="11" l="1"/>
  <c r="AC143" i="11" s="1"/>
  <c r="AC149" i="11" s="1"/>
  <c r="AD136" i="11"/>
  <c r="AA143" i="11"/>
  <c r="AA149" i="11" s="1"/>
  <c r="AC79" i="11"/>
  <c r="AB79" i="11"/>
  <c r="AD148" i="11"/>
  <c r="AC141" i="11" l="1"/>
  <c r="AD141" i="11" s="1"/>
  <c r="AD139" i="11"/>
  <c r="AB143" i="11"/>
  <c r="AB149" i="11" s="1"/>
  <c r="AD149" i="11" s="1"/>
  <c r="AD142" i="11"/>
  <c r="AD143" i="11" l="1"/>
  <c r="C58" i="11" l="1"/>
  <c r="E11" i="8"/>
  <c r="C5" i="11"/>
  <c r="F74" i="11" l="1"/>
  <c r="F79" i="11" s="1"/>
  <c r="H74" i="11"/>
  <c r="H79" i="11" s="1"/>
  <c r="I20" i="11"/>
  <c r="I24" i="11" s="1"/>
  <c r="M20" i="11"/>
  <c r="K20" i="11"/>
  <c r="G74" i="11"/>
  <c r="G79" i="11" s="1"/>
  <c r="F20" i="11"/>
  <c r="E74" i="11"/>
  <c r="O20" i="11"/>
  <c r="E20" i="11"/>
  <c r="G20" i="11"/>
  <c r="M74" i="11"/>
  <c r="M79" i="11" s="1"/>
  <c r="L20" i="11"/>
  <c r="I74" i="11"/>
  <c r="J20" i="11"/>
  <c r="N74" i="11"/>
  <c r="H20" i="11"/>
  <c r="L74" i="11"/>
  <c r="J74" i="11"/>
  <c r="O74" i="11"/>
  <c r="K74" i="11"/>
  <c r="N20" i="11"/>
  <c r="M24" i="11" l="1"/>
  <c r="K24" i="11"/>
  <c r="E24" i="11"/>
  <c r="E25" i="11" s="1"/>
  <c r="E79" i="11"/>
  <c r="E80" i="11" s="1"/>
  <c r="F80" i="11" s="1"/>
  <c r="G80" i="11" s="1"/>
  <c r="H80" i="11" s="1"/>
  <c r="AD74" i="11"/>
  <c r="F24" i="11"/>
  <c r="H24" i="11"/>
  <c r="G24" i="11"/>
  <c r="AD20" i="11"/>
  <c r="O24" i="11"/>
  <c r="N79" i="11"/>
  <c r="L79" i="11"/>
  <c r="J79" i="11"/>
  <c r="J24" i="11"/>
  <c r="N24" i="11"/>
  <c r="K79" i="11"/>
  <c r="I79" i="11"/>
  <c r="O79" i="11"/>
  <c r="L24" i="11"/>
  <c r="AD24" i="11" l="1"/>
  <c r="AD25" i="11" s="1"/>
  <c r="F25" i="11"/>
  <c r="G25" i="11" s="1"/>
  <c r="H25" i="11" s="1"/>
  <c r="I25" i="11" s="1"/>
  <c r="J25" i="11" s="1"/>
  <c r="K25" i="11" s="1"/>
  <c r="AD79" i="11"/>
  <c r="AD80" i="11" s="1"/>
  <c r="I80" i="11"/>
  <c r="J80" i="11" s="1"/>
  <c r="K80" i="11" s="1"/>
  <c r="L80" i="11" s="1"/>
  <c r="M80" i="11" s="1"/>
  <c r="N80" i="11" s="1"/>
  <c r="O80" i="11" s="1"/>
  <c r="P80" i="11" s="1"/>
  <c r="Q80" i="11" s="1"/>
  <c r="R80" i="11" s="1"/>
  <c r="S80" i="11" s="1"/>
  <c r="T80" i="11" s="1"/>
  <c r="U80" i="11" s="1"/>
  <c r="V80" i="11" s="1"/>
  <c r="W80" i="11" s="1"/>
  <c r="X80" i="11" s="1"/>
  <c r="Y80" i="11" s="1"/>
  <c r="Z80" i="11" s="1"/>
  <c r="AA80" i="11" s="1"/>
  <c r="AB80" i="11" s="1"/>
  <c r="AC80" i="11" s="1"/>
  <c r="L25" i="11" l="1"/>
  <c r="M25" i="11" l="1"/>
  <c r="N25" i="11" l="1"/>
  <c r="O25" i="11" l="1"/>
  <c r="P25" i="11" l="1"/>
  <c r="Q25" i="11" l="1"/>
  <c r="R25" i="11" l="1"/>
  <c r="S25" i="11" l="1"/>
  <c r="T25" i="11" l="1"/>
  <c r="U25" i="11" l="1"/>
  <c r="V25" i="11" l="1"/>
  <c r="W25" i="11" l="1"/>
  <c r="X25" i="11" l="1"/>
  <c r="Y25" i="11" l="1"/>
  <c r="Z25" i="11" s="1"/>
  <c r="AA25" i="11" s="1"/>
  <c r="AB25" i="11" s="1"/>
  <c r="AC25" i="11" s="1"/>
</calcChain>
</file>

<file path=xl/sharedStrings.xml><?xml version="1.0" encoding="utf-8"?>
<sst xmlns="http://schemas.openxmlformats.org/spreadsheetml/2006/main" count="470" uniqueCount="261">
  <si>
    <t>行政面積</t>
    <rPh sb="0" eb="2">
      <t>ギョウセイ</t>
    </rPh>
    <rPh sb="2" eb="4">
      <t>メンセキ</t>
    </rPh>
    <phoneticPr fontId="1"/>
  </si>
  <si>
    <t>単位</t>
    <rPh sb="0" eb="2">
      <t>タンイ</t>
    </rPh>
    <phoneticPr fontId="1"/>
  </si>
  <si>
    <t>値</t>
    <rPh sb="0" eb="1">
      <t>アタイ</t>
    </rPh>
    <phoneticPr fontId="1"/>
  </si>
  <si>
    <t>項目</t>
    <rPh sb="0" eb="2">
      <t>コウモク</t>
    </rPh>
    <phoneticPr fontId="1"/>
  </si>
  <si>
    <t>行政人口</t>
    <rPh sb="0" eb="2">
      <t>ギョウセイ</t>
    </rPh>
    <rPh sb="2" eb="4">
      <t>ジンコウ</t>
    </rPh>
    <phoneticPr fontId="1"/>
  </si>
  <si>
    <t>人</t>
    <rPh sb="0" eb="1">
      <t>ニン</t>
    </rPh>
    <phoneticPr fontId="1"/>
  </si>
  <si>
    <t>下水道計画区域内人口</t>
    <rPh sb="0" eb="2">
      <t>ゲスイ</t>
    </rPh>
    <rPh sb="2" eb="3">
      <t>ドウ</t>
    </rPh>
    <rPh sb="3" eb="5">
      <t>ケイカク</t>
    </rPh>
    <rPh sb="5" eb="7">
      <t>クイキ</t>
    </rPh>
    <rPh sb="7" eb="8">
      <t>ナイ</t>
    </rPh>
    <rPh sb="8" eb="10">
      <t>ジンコウ</t>
    </rPh>
    <phoneticPr fontId="1"/>
  </si>
  <si>
    <t>A処理区</t>
    <rPh sb="1" eb="3">
      <t>ショリ</t>
    </rPh>
    <rPh sb="3" eb="4">
      <t>ク</t>
    </rPh>
    <phoneticPr fontId="1"/>
  </si>
  <si>
    <t>農業集落排水区域内人口</t>
    <rPh sb="0" eb="2">
      <t>ノウギョウ</t>
    </rPh>
    <rPh sb="2" eb="4">
      <t>シュウラク</t>
    </rPh>
    <rPh sb="4" eb="6">
      <t>ハイスイ</t>
    </rPh>
    <rPh sb="6" eb="8">
      <t>クイキ</t>
    </rPh>
    <rPh sb="8" eb="9">
      <t>ナイ</t>
    </rPh>
    <rPh sb="9" eb="11">
      <t>ジンコウ</t>
    </rPh>
    <phoneticPr fontId="1"/>
  </si>
  <si>
    <t>H28</t>
    <phoneticPr fontId="1"/>
  </si>
  <si>
    <t>H29</t>
  </si>
  <si>
    <t>H30</t>
  </si>
  <si>
    <t>H31</t>
  </si>
  <si>
    <t>H32</t>
  </si>
  <si>
    <t>H33</t>
  </si>
  <si>
    <t>H34</t>
  </si>
  <si>
    <t>H35</t>
  </si>
  <si>
    <t>H36</t>
  </si>
  <si>
    <t>H37</t>
  </si>
  <si>
    <t>H38</t>
  </si>
  <si>
    <t>H39</t>
  </si>
  <si>
    <t>H40</t>
  </si>
  <si>
    <t>H41</t>
  </si>
  <si>
    <t>H42</t>
  </si>
  <si>
    <t>H43</t>
  </si>
  <si>
    <t>H44</t>
  </si>
  <si>
    <t>H45</t>
  </si>
  <si>
    <t>H46</t>
  </si>
  <si>
    <t>H47</t>
  </si>
  <si>
    <t>H48</t>
  </si>
  <si>
    <t>H49</t>
  </si>
  <si>
    <t>H50</t>
  </si>
  <si>
    <t>H51</t>
  </si>
  <si>
    <t>H52</t>
  </si>
  <si>
    <t>年度</t>
    <rPh sb="0" eb="2">
      <t>ネンド</t>
    </rPh>
    <phoneticPr fontId="1"/>
  </si>
  <si>
    <t>割合</t>
    <rPh sb="0" eb="2">
      <t>ワリアイ</t>
    </rPh>
    <phoneticPr fontId="1"/>
  </si>
  <si>
    <t>％</t>
    <phoneticPr fontId="1"/>
  </si>
  <si>
    <t>A処理区（下水道）</t>
    <rPh sb="1" eb="3">
      <t>ショリ</t>
    </rPh>
    <rPh sb="3" eb="4">
      <t>ク</t>
    </rPh>
    <rPh sb="5" eb="7">
      <t>ゲスイ</t>
    </rPh>
    <rPh sb="7" eb="8">
      <t>ドウ</t>
    </rPh>
    <phoneticPr fontId="1"/>
  </si>
  <si>
    <t>農業集落排水区</t>
    <rPh sb="0" eb="2">
      <t>ノウギョウ</t>
    </rPh>
    <rPh sb="2" eb="4">
      <t>シュウラク</t>
    </rPh>
    <rPh sb="4" eb="6">
      <t>ハイスイ</t>
    </rPh>
    <rPh sb="6" eb="7">
      <t>ク</t>
    </rPh>
    <phoneticPr fontId="1"/>
  </si>
  <si>
    <t>日平均</t>
    <rPh sb="0" eb="1">
      <t>ニチ</t>
    </rPh>
    <rPh sb="1" eb="3">
      <t>ヘイキン</t>
    </rPh>
    <phoneticPr fontId="1"/>
  </si>
  <si>
    <t>日最大</t>
    <rPh sb="0" eb="1">
      <t>ニチ</t>
    </rPh>
    <rPh sb="1" eb="3">
      <t>サイダイ</t>
    </rPh>
    <phoneticPr fontId="1"/>
  </si>
  <si>
    <t>-</t>
    <phoneticPr fontId="1"/>
  </si>
  <si>
    <t>単位：L/人・日</t>
    <rPh sb="0" eb="2">
      <t>タンイ</t>
    </rPh>
    <rPh sb="5" eb="6">
      <t>ニン</t>
    </rPh>
    <rPh sb="7" eb="8">
      <t>ニチ</t>
    </rPh>
    <phoneticPr fontId="1"/>
  </si>
  <si>
    <t>〃</t>
    <phoneticPr fontId="1"/>
  </si>
  <si>
    <t>下水道整備率</t>
    <rPh sb="0" eb="2">
      <t>ゲスイ</t>
    </rPh>
    <rPh sb="2" eb="3">
      <t>ドウ</t>
    </rPh>
    <rPh sb="3" eb="5">
      <t>セイビ</t>
    </rPh>
    <rPh sb="5" eb="6">
      <t>リツ</t>
    </rPh>
    <phoneticPr fontId="1"/>
  </si>
  <si>
    <t>A処理区（下水道）（m3/日）</t>
    <rPh sb="1" eb="3">
      <t>ショリ</t>
    </rPh>
    <rPh sb="3" eb="4">
      <t>ク</t>
    </rPh>
    <rPh sb="5" eb="7">
      <t>ゲスイ</t>
    </rPh>
    <rPh sb="7" eb="8">
      <t>ドウ</t>
    </rPh>
    <rPh sb="13" eb="14">
      <t>ニチ</t>
    </rPh>
    <phoneticPr fontId="1"/>
  </si>
  <si>
    <t>農業集落排水区（m3/日）</t>
    <rPh sb="0" eb="2">
      <t>ノウギョウ</t>
    </rPh>
    <rPh sb="2" eb="4">
      <t>シュウラク</t>
    </rPh>
    <rPh sb="4" eb="6">
      <t>ハイスイ</t>
    </rPh>
    <rPh sb="6" eb="7">
      <t>ク</t>
    </rPh>
    <phoneticPr fontId="1"/>
  </si>
  <si>
    <t>汚水処理人口</t>
    <rPh sb="0" eb="2">
      <t>オスイ</t>
    </rPh>
    <rPh sb="2" eb="4">
      <t>ショリ</t>
    </rPh>
    <rPh sb="4" eb="6">
      <t>ジンコウ</t>
    </rPh>
    <phoneticPr fontId="1"/>
  </si>
  <si>
    <t>汚水処理普及率（人口普及率）</t>
    <rPh sb="0" eb="2">
      <t>オスイ</t>
    </rPh>
    <rPh sb="2" eb="4">
      <t>ショリ</t>
    </rPh>
    <rPh sb="4" eb="6">
      <t>フキュウ</t>
    </rPh>
    <rPh sb="6" eb="7">
      <t>リツ</t>
    </rPh>
    <rPh sb="8" eb="10">
      <t>ジンコウ</t>
    </rPh>
    <rPh sb="10" eb="12">
      <t>フキュウ</t>
    </rPh>
    <rPh sb="12" eb="13">
      <t>リツ</t>
    </rPh>
    <phoneticPr fontId="1"/>
  </si>
  <si>
    <t>処理方式</t>
    <rPh sb="0" eb="2">
      <t>ショリ</t>
    </rPh>
    <rPh sb="2" eb="4">
      <t>ホウシキ</t>
    </rPh>
    <phoneticPr fontId="1"/>
  </si>
  <si>
    <t>標準法</t>
    <rPh sb="0" eb="2">
      <t>ヒョウジュン</t>
    </rPh>
    <rPh sb="2" eb="3">
      <t>ホウ</t>
    </rPh>
    <phoneticPr fontId="1"/>
  </si>
  <si>
    <t>JARUSⅢ</t>
    <phoneticPr fontId="1"/>
  </si>
  <si>
    <t>処理場</t>
    <rPh sb="0" eb="3">
      <t>ショリジョウ</t>
    </rPh>
    <phoneticPr fontId="1"/>
  </si>
  <si>
    <t>農業集落排水施設</t>
    <rPh sb="0" eb="2">
      <t>ノウギョウ</t>
    </rPh>
    <rPh sb="2" eb="4">
      <t>シュウラク</t>
    </rPh>
    <rPh sb="4" eb="6">
      <t>ハイスイ</t>
    </rPh>
    <rPh sb="6" eb="8">
      <t>シセツ</t>
    </rPh>
    <phoneticPr fontId="1"/>
  </si>
  <si>
    <t>稼働率</t>
    <rPh sb="0" eb="2">
      <t>カドウ</t>
    </rPh>
    <rPh sb="2" eb="3">
      <t>リツ</t>
    </rPh>
    <phoneticPr fontId="1"/>
  </si>
  <si>
    <t>日最大処理能力</t>
    <rPh sb="0" eb="1">
      <t>ニチ</t>
    </rPh>
    <rPh sb="1" eb="3">
      <t>サイダイ</t>
    </rPh>
    <rPh sb="3" eb="5">
      <t>ショリ</t>
    </rPh>
    <rPh sb="5" eb="7">
      <t>ノウリョク</t>
    </rPh>
    <phoneticPr fontId="1"/>
  </si>
  <si>
    <t>A下水処理場</t>
    <rPh sb="1" eb="3">
      <t>ゲスイ</t>
    </rPh>
    <rPh sb="3" eb="6">
      <t>ショリジョウ</t>
    </rPh>
    <phoneticPr fontId="1"/>
  </si>
  <si>
    <t>人口</t>
    <rPh sb="0" eb="2">
      <t>ジンコウ</t>
    </rPh>
    <phoneticPr fontId="1"/>
  </si>
  <si>
    <t>A処理区内人口（人）</t>
    <rPh sb="4" eb="5">
      <t>ナイ</t>
    </rPh>
    <rPh sb="5" eb="7">
      <t>ジンコウ</t>
    </rPh>
    <rPh sb="8" eb="9">
      <t>ニン</t>
    </rPh>
    <phoneticPr fontId="1"/>
  </si>
  <si>
    <t>A下水処理場稼働率（％）</t>
    <rPh sb="1" eb="3">
      <t>ゲスイ</t>
    </rPh>
    <rPh sb="3" eb="6">
      <t>ショリジョウ</t>
    </rPh>
    <rPh sb="6" eb="8">
      <t>カドウ</t>
    </rPh>
    <rPh sb="8" eb="9">
      <t>リツ</t>
    </rPh>
    <phoneticPr fontId="1"/>
  </si>
  <si>
    <t>農業集落排水施設稼働率（％）</t>
    <rPh sb="0" eb="2">
      <t>ノウギョウ</t>
    </rPh>
    <rPh sb="2" eb="4">
      <t>シュウラク</t>
    </rPh>
    <rPh sb="4" eb="6">
      <t>ハイスイ</t>
    </rPh>
    <rPh sb="6" eb="8">
      <t>シセツ</t>
    </rPh>
    <phoneticPr fontId="1"/>
  </si>
  <si>
    <t>原単位</t>
    <rPh sb="0" eb="3">
      <t>ゲンタンイ</t>
    </rPh>
    <phoneticPr fontId="1"/>
  </si>
  <si>
    <t>汚水量</t>
    <rPh sb="0" eb="2">
      <t>オスイ</t>
    </rPh>
    <rPh sb="2" eb="3">
      <t>リョウ</t>
    </rPh>
    <phoneticPr fontId="1"/>
  </si>
  <si>
    <t>区分</t>
    <rPh sb="0" eb="2">
      <t>クブン</t>
    </rPh>
    <phoneticPr fontId="1"/>
  </si>
  <si>
    <t>ＢＯＤ</t>
    <phoneticPr fontId="1"/>
  </si>
  <si>
    <t>ＣＯＤ</t>
    <phoneticPr fontId="1"/>
  </si>
  <si>
    <t>Ｔ-Ｎ</t>
    <phoneticPr fontId="1"/>
  </si>
  <si>
    <t>ＳＳ</t>
    <phoneticPr fontId="1"/>
  </si>
  <si>
    <t>Ｔ-Ｐ</t>
    <phoneticPr fontId="1"/>
  </si>
  <si>
    <t>濃度</t>
    <rPh sb="0" eb="2">
      <t>ノウド</t>
    </rPh>
    <phoneticPr fontId="1"/>
  </si>
  <si>
    <t>備考</t>
    <rPh sb="0" eb="2">
      <t>ビコウ</t>
    </rPh>
    <phoneticPr fontId="1"/>
  </si>
  <si>
    <t>単位：mg/L</t>
    <rPh sb="0" eb="2">
      <t>タンイ</t>
    </rPh>
    <phoneticPr fontId="1"/>
  </si>
  <si>
    <t>-</t>
    <phoneticPr fontId="1"/>
  </si>
  <si>
    <t>処理形態</t>
    <rPh sb="0" eb="2">
      <t>ショリ</t>
    </rPh>
    <rPh sb="2" eb="4">
      <t>ケイタイ</t>
    </rPh>
    <phoneticPr fontId="1"/>
  </si>
  <si>
    <t>m3/日</t>
    <rPh sb="3" eb="4">
      <t>ニチ</t>
    </rPh>
    <phoneticPr fontId="1"/>
  </si>
  <si>
    <t>A下水処理場</t>
  </si>
  <si>
    <t>処理場</t>
  </si>
  <si>
    <t>処理方式</t>
  </si>
  <si>
    <t>標準法</t>
  </si>
  <si>
    <t>施設</t>
    <rPh sb="0" eb="2">
      <t>シセツ</t>
    </rPh>
    <phoneticPr fontId="1"/>
  </si>
  <si>
    <t>百万円/年</t>
    <rPh sb="0" eb="3">
      <t>ヒャクマンエン</t>
    </rPh>
    <rPh sb="4" eb="5">
      <t>ネン</t>
    </rPh>
    <phoneticPr fontId="1"/>
  </si>
  <si>
    <t>現状</t>
    <rPh sb="0" eb="2">
      <t>ゲンジョウ</t>
    </rPh>
    <phoneticPr fontId="1"/>
  </si>
  <si>
    <t>更新費</t>
    <rPh sb="0" eb="3">
      <t>コウシンヒ</t>
    </rPh>
    <phoneticPr fontId="1"/>
  </si>
  <si>
    <t>a</t>
    <phoneticPr fontId="1"/>
  </si>
  <si>
    <t>b</t>
    <phoneticPr fontId="1"/>
  </si>
  <si>
    <t>合計</t>
    <rPh sb="0" eb="2">
      <t>ゴウケイ</t>
    </rPh>
    <phoneticPr fontId="1"/>
  </si>
  <si>
    <t>-</t>
    <phoneticPr fontId="1"/>
  </si>
  <si>
    <t>-</t>
    <phoneticPr fontId="1"/>
  </si>
  <si>
    <t>①処理能力</t>
    <rPh sb="1" eb="3">
      <t>ショリ</t>
    </rPh>
    <rPh sb="3" eb="5">
      <t>ノウリョク</t>
    </rPh>
    <phoneticPr fontId="1"/>
  </si>
  <si>
    <t>③稼働率</t>
    <rPh sb="1" eb="3">
      <t>カドウ</t>
    </rPh>
    <rPh sb="3" eb="4">
      <t>リツ</t>
    </rPh>
    <phoneticPr fontId="1"/>
  </si>
  <si>
    <t>⑦合計事業費</t>
    <rPh sb="1" eb="3">
      <t>ゴウケイ</t>
    </rPh>
    <rPh sb="3" eb="6">
      <t>ジギョウヒ</t>
    </rPh>
    <phoneticPr fontId="1"/>
  </si>
  <si>
    <t>⑧累計事業費</t>
    <rPh sb="1" eb="3">
      <t>ルイケイ</t>
    </rPh>
    <rPh sb="3" eb="6">
      <t>ジギョウヒ</t>
    </rPh>
    <phoneticPr fontId="1"/>
  </si>
  <si>
    <t>：将来フレームより</t>
    <phoneticPr fontId="1"/>
  </si>
  <si>
    <t>⑤維持管理費</t>
    <rPh sb="1" eb="3">
      <t>イジ</t>
    </rPh>
    <rPh sb="3" eb="5">
      <t>カンリ</t>
    </rPh>
    <rPh sb="5" eb="6">
      <t>ヒ</t>
    </rPh>
    <phoneticPr fontId="1"/>
  </si>
  <si>
    <t>⑥機電更新費</t>
    <rPh sb="1" eb="3">
      <t>キデン</t>
    </rPh>
    <rPh sb="3" eb="6">
      <t>コウシンヒ</t>
    </rPh>
    <phoneticPr fontId="1"/>
  </si>
  <si>
    <t>：「⑤維持管理費」+「⑥機電更新費」</t>
    <rPh sb="3" eb="5">
      <t>イジ</t>
    </rPh>
    <rPh sb="5" eb="7">
      <t>カンリ</t>
    </rPh>
    <rPh sb="7" eb="8">
      <t>ヒ</t>
    </rPh>
    <rPh sb="12" eb="14">
      <t>キデン</t>
    </rPh>
    <rPh sb="14" eb="16">
      <t>コウシン</t>
    </rPh>
    <rPh sb="16" eb="17">
      <t>ヒ</t>
    </rPh>
    <phoneticPr fontId="1"/>
  </si>
  <si>
    <t>：「前年度までの合計」+「当該年度の合計」</t>
    <rPh sb="2" eb="5">
      <t>ゼンネンド</t>
    </rPh>
    <rPh sb="8" eb="10">
      <t>ゴウケイ</t>
    </rPh>
    <rPh sb="13" eb="15">
      <t>トウガイ</t>
    </rPh>
    <rPh sb="15" eb="17">
      <t>ネンド</t>
    </rPh>
    <rPh sb="18" eb="20">
      <t>ゴウケイ</t>
    </rPh>
    <phoneticPr fontId="1"/>
  </si>
  <si>
    <t>既存施設の更新</t>
    <rPh sb="0" eb="2">
      <t>キゾン</t>
    </rPh>
    <rPh sb="2" eb="4">
      <t>シセツ</t>
    </rPh>
    <rPh sb="5" eb="7">
      <t>コウシン</t>
    </rPh>
    <phoneticPr fontId="1"/>
  </si>
  <si>
    <t>処理施設の再編成</t>
    <rPh sb="0" eb="2">
      <t>ショリ</t>
    </rPh>
    <rPh sb="2" eb="4">
      <t>シセツ</t>
    </rPh>
    <rPh sb="5" eb="8">
      <t>サイヘンセイ</t>
    </rPh>
    <phoneticPr fontId="1"/>
  </si>
  <si>
    <t>A下水処理場に接続</t>
    <rPh sb="1" eb="3">
      <t>ゲスイ</t>
    </rPh>
    <rPh sb="3" eb="5">
      <t>ショリ</t>
    </rPh>
    <rPh sb="5" eb="6">
      <t>ジョウ</t>
    </rPh>
    <rPh sb="7" eb="9">
      <t>セツゾク</t>
    </rPh>
    <phoneticPr fontId="1"/>
  </si>
  <si>
    <t>更新後1</t>
    <rPh sb="0" eb="2">
      <t>コウシン</t>
    </rPh>
    <rPh sb="2" eb="3">
      <t>ゴ</t>
    </rPh>
    <phoneticPr fontId="1"/>
  </si>
  <si>
    <t>更新後2</t>
    <rPh sb="0" eb="2">
      <t>コウシン</t>
    </rPh>
    <rPh sb="2" eb="3">
      <t>ゴ</t>
    </rPh>
    <phoneticPr fontId="1"/>
  </si>
  <si>
    <t>⑧合計事業費</t>
    <rPh sb="1" eb="3">
      <t>ゴウケイ</t>
    </rPh>
    <rPh sb="3" eb="6">
      <t>ジギョウヒ</t>
    </rPh>
    <phoneticPr fontId="1"/>
  </si>
  <si>
    <t>⑨累計事業費</t>
    <rPh sb="1" eb="3">
      <t>ルイケイ</t>
    </rPh>
    <rPh sb="3" eb="6">
      <t>ジギョウヒ</t>
    </rPh>
    <phoneticPr fontId="1"/>
  </si>
  <si>
    <t>維持管理費</t>
    <rPh sb="0" eb="2">
      <t>イジ</t>
    </rPh>
    <rPh sb="2" eb="4">
      <t>カンリ</t>
    </rPh>
    <rPh sb="4" eb="5">
      <t>ヒ</t>
    </rPh>
    <phoneticPr fontId="1"/>
  </si>
  <si>
    <t>事業実施費</t>
    <rPh sb="0" eb="2">
      <t>ジギョウ</t>
    </rPh>
    <rPh sb="2" eb="4">
      <t>ジッシ</t>
    </rPh>
    <rPh sb="4" eb="5">
      <t>ヒ</t>
    </rPh>
    <phoneticPr fontId="1"/>
  </si>
  <si>
    <t>⑦接続事業費</t>
    <rPh sb="1" eb="3">
      <t>セツゾク</t>
    </rPh>
    <rPh sb="3" eb="5">
      <t>ジギョウ</t>
    </rPh>
    <rPh sb="5" eb="6">
      <t>ヒ</t>
    </rPh>
    <phoneticPr fontId="1"/>
  </si>
  <si>
    <t>⑦接続事業費</t>
    <rPh sb="1" eb="3">
      <t>セツゾク</t>
    </rPh>
    <rPh sb="3" eb="6">
      <t>ジギョウヒ</t>
    </rPh>
    <phoneticPr fontId="1"/>
  </si>
  <si>
    <t>：MP建設費；920万円/基、MP維持管理費；22万円/基/年、管きょ建設費；4.5万円/m（圧送管）、管きょ維持管理費；60円/m/年</t>
    <phoneticPr fontId="1"/>
  </si>
  <si>
    <t>MP建設</t>
    <rPh sb="2" eb="4">
      <t>ケンセツ</t>
    </rPh>
    <phoneticPr fontId="1"/>
  </si>
  <si>
    <t>MP維持管理費</t>
    <rPh sb="2" eb="4">
      <t>イジ</t>
    </rPh>
    <rPh sb="4" eb="6">
      <t>カンリ</t>
    </rPh>
    <rPh sb="6" eb="7">
      <t>ヒ</t>
    </rPh>
    <phoneticPr fontId="1"/>
  </si>
  <si>
    <t>管きょ建設</t>
    <rPh sb="0" eb="1">
      <t>カン</t>
    </rPh>
    <rPh sb="3" eb="5">
      <t>ケンセツ</t>
    </rPh>
    <phoneticPr fontId="1"/>
  </si>
  <si>
    <t>管きょ維持管理（円）</t>
    <rPh sb="0" eb="1">
      <t>カン</t>
    </rPh>
    <rPh sb="3" eb="5">
      <t>イジ</t>
    </rPh>
    <rPh sb="5" eb="7">
      <t>カンリ</t>
    </rPh>
    <rPh sb="8" eb="9">
      <t>エン</t>
    </rPh>
    <phoneticPr fontId="1"/>
  </si>
  <si>
    <t>環境面</t>
    <rPh sb="0" eb="3">
      <t>カンキョウメン</t>
    </rPh>
    <phoneticPr fontId="1"/>
  </si>
  <si>
    <t>全体計画値（実績値）</t>
    <rPh sb="0" eb="2">
      <t>ゼンタイ</t>
    </rPh>
    <rPh sb="2" eb="4">
      <t>ケイカク</t>
    </rPh>
    <rPh sb="4" eb="5">
      <t>チ</t>
    </rPh>
    <rPh sb="6" eb="9">
      <t>ジッセキチ</t>
    </rPh>
    <phoneticPr fontId="1"/>
  </si>
  <si>
    <t>25年間の年価↑</t>
    <rPh sb="2" eb="3">
      <t>ネン</t>
    </rPh>
    <rPh sb="3" eb="4">
      <t>カン</t>
    </rPh>
    <rPh sb="5" eb="6">
      <t>ネン</t>
    </rPh>
    <rPh sb="6" eb="7">
      <t>カ</t>
    </rPh>
    <phoneticPr fontId="1"/>
  </si>
  <si>
    <t>A処理場</t>
    <rPh sb="1" eb="4">
      <t>ショリジョウ</t>
    </rPh>
    <phoneticPr fontId="1"/>
  </si>
  <si>
    <t>汚泥
割合</t>
    <rPh sb="0" eb="2">
      <t>オデイ</t>
    </rPh>
    <rPh sb="3" eb="5">
      <t>ワリアイ</t>
    </rPh>
    <phoneticPr fontId="1"/>
  </si>
  <si>
    <t>流入SS</t>
    <rPh sb="0" eb="2">
      <t>リュウニュウ</t>
    </rPh>
    <phoneticPr fontId="1"/>
  </si>
  <si>
    <t>ｍｇ/Ｌ</t>
    <phoneticPr fontId="1"/>
  </si>
  <si>
    <t>SS除去率</t>
    <rPh sb="2" eb="4">
      <t>ジョキョ</t>
    </rPh>
    <rPh sb="4" eb="5">
      <t>リツ</t>
    </rPh>
    <phoneticPr fontId="1"/>
  </si>
  <si>
    <t>SSあたり汚泥発生率</t>
    <rPh sb="5" eb="7">
      <t>オデイ</t>
    </rPh>
    <rPh sb="7" eb="9">
      <t>ハッセイ</t>
    </rPh>
    <rPh sb="9" eb="10">
      <t>リツ</t>
    </rPh>
    <phoneticPr fontId="1"/>
  </si>
  <si>
    <t>汚泥濃度</t>
    <rPh sb="0" eb="2">
      <t>オデイ</t>
    </rPh>
    <rPh sb="2" eb="4">
      <t>ノウド</t>
    </rPh>
    <phoneticPr fontId="1"/>
  </si>
  <si>
    <t>水処理更新費</t>
    <rPh sb="0" eb="1">
      <t>ミズ</t>
    </rPh>
    <rPh sb="1" eb="3">
      <t>ショリ</t>
    </rPh>
    <rPh sb="3" eb="6">
      <t>コウシンヒ</t>
    </rPh>
    <phoneticPr fontId="1"/>
  </si>
  <si>
    <t>汚泥更新費</t>
    <rPh sb="0" eb="2">
      <t>オデイ</t>
    </rPh>
    <rPh sb="2" eb="5">
      <t>コウシンヒ</t>
    </rPh>
    <phoneticPr fontId="1"/>
  </si>
  <si>
    <t>脱臭更新費</t>
    <rPh sb="0" eb="2">
      <t>ダッシュウ</t>
    </rPh>
    <rPh sb="2" eb="5">
      <t>コウシンヒ</t>
    </rPh>
    <phoneticPr fontId="1"/>
  </si>
  <si>
    <t>既存施設の更新</t>
    <rPh sb="0" eb="2">
      <t>キゾン</t>
    </rPh>
    <rPh sb="2" eb="4">
      <t>シセツ</t>
    </rPh>
    <rPh sb="5" eb="7">
      <t>コウシン</t>
    </rPh>
    <phoneticPr fontId="1"/>
  </si>
  <si>
    <t>電力係数</t>
    <rPh sb="0" eb="2">
      <t>デンリョク</t>
    </rPh>
    <phoneticPr fontId="1"/>
  </si>
  <si>
    <t>消費電力量
原単位</t>
    <rPh sb="0" eb="2">
      <t>ショウヒ</t>
    </rPh>
    <rPh sb="2" eb="4">
      <t>デンリョク</t>
    </rPh>
    <rPh sb="4" eb="5">
      <t>リョウ</t>
    </rPh>
    <rPh sb="6" eb="9">
      <t>ゲンタンイ</t>
    </rPh>
    <phoneticPr fontId="1"/>
  </si>
  <si>
    <t>固定維持
管理費原単位</t>
    <rPh sb="0" eb="2">
      <t>コテイ</t>
    </rPh>
    <rPh sb="2" eb="4">
      <t>イジ</t>
    </rPh>
    <rPh sb="5" eb="8">
      <t>カンリヒ</t>
    </rPh>
    <rPh sb="8" eb="11">
      <t>ゲンタンイ</t>
    </rPh>
    <phoneticPr fontId="1"/>
  </si>
  <si>
    <t>CH4</t>
    <phoneticPr fontId="1"/>
  </si>
  <si>
    <t>NO2</t>
    <phoneticPr fontId="1"/>
  </si>
  <si>
    <t>NH4-N</t>
    <phoneticPr fontId="1"/>
  </si>
  <si>
    <t>消費電力量［千kWh］</t>
    <rPh sb="0" eb="2">
      <t>ショウヒ</t>
    </rPh>
    <rPh sb="2" eb="4">
      <t>デンリョク</t>
    </rPh>
    <rPh sb="4" eb="5">
      <t>リョウ</t>
    </rPh>
    <rPh sb="6" eb="7">
      <t>セン</t>
    </rPh>
    <phoneticPr fontId="1"/>
  </si>
  <si>
    <t>2</t>
    <phoneticPr fontId="1"/>
  </si>
  <si>
    <t>3</t>
    <phoneticPr fontId="1"/>
  </si>
  <si>
    <t>4</t>
    <phoneticPr fontId="1"/>
  </si>
  <si>
    <t>5</t>
    <phoneticPr fontId="1"/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</si>
  <si>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</si>
  <si>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</si>
  <si>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</si>
  <si>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</si>
  <si>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</si>
  <si>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</si>
  <si>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</si>
  <si>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</si>
  <si>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</si>
  <si>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</si>
  <si>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</si>
  <si>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</si>
  <si>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</si>
  <si>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</si>
  <si>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</si>
  <si>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</si>
  <si>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</si>
  <si>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</si>
  <si>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</si>
  <si>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</si>
  <si>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現在</t>
    <rPh sb="0" eb="2">
      <t>ゲンザイ</t>
    </rPh>
    <phoneticPr fontId="1"/>
  </si>
  <si>
    <r>
      <t>m</t>
    </r>
    <r>
      <rPr>
        <vertAlign val="superscript"/>
        <sz val="11"/>
        <color theme="1"/>
        <rFont val="ＭＳ Ｐゴシック"/>
        <family val="3"/>
        <charset val="128"/>
        <scheme val="minor"/>
      </rPr>
      <t>3</t>
    </r>
    <r>
      <rPr>
        <sz val="11"/>
        <color theme="1"/>
        <rFont val="ＭＳ Ｐゴシック"/>
        <family val="2"/>
        <charset val="128"/>
        <scheme val="minor"/>
      </rPr>
      <t>/日</t>
    </r>
    <rPh sb="3" eb="4">
      <t>ニチ</t>
    </rPh>
    <phoneticPr fontId="1"/>
  </si>
  <si>
    <t>(a)</t>
    <phoneticPr fontId="1"/>
  </si>
  <si>
    <t>(b)</t>
    <phoneticPr fontId="1"/>
  </si>
  <si>
    <t>(b) / (a)</t>
    <phoneticPr fontId="1"/>
  </si>
  <si>
    <t>維持管理費</t>
    <rPh sb="0" eb="2">
      <t>イジ</t>
    </rPh>
    <rPh sb="2" eb="4">
      <t>カンリ</t>
    </rPh>
    <rPh sb="4" eb="5">
      <t>ヒ</t>
    </rPh>
    <phoneticPr fontId="1"/>
  </si>
  <si>
    <t>消費電力量
［kWh/年］
※１</t>
    <rPh sb="0" eb="2">
      <t>ショウヒ</t>
    </rPh>
    <rPh sb="2" eb="4">
      <t>デンリョク</t>
    </rPh>
    <rPh sb="4" eb="5">
      <t>リョウ</t>
    </rPh>
    <rPh sb="11" eb="12">
      <t>ネン</t>
    </rPh>
    <phoneticPr fontId="1"/>
  </si>
  <si>
    <t>※１：電力費÷電力料単価（本シナリオ例では15円/kwh）</t>
    <rPh sb="3" eb="5">
      <t>デンリョク</t>
    </rPh>
    <rPh sb="5" eb="6">
      <t>ヒ</t>
    </rPh>
    <rPh sb="7" eb="9">
      <t>デンリョク</t>
    </rPh>
    <rPh sb="9" eb="10">
      <t>リョウ</t>
    </rPh>
    <rPh sb="10" eb="12">
      <t>タンカ</t>
    </rPh>
    <rPh sb="13" eb="14">
      <t>ホン</t>
    </rPh>
    <rPh sb="18" eb="19">
      <t>レイ</t>
    </rPh>
    <rPh sb="23" eb="24">
      <t>エン</t>
    </rPh>
    <phoneticPr fontId="1"/>
  </si>
  <si>
    <t>合計(a)
［千円/年］</t>
    <rPh sb="0" eb="1">
      <t>ゴウ</t>
    </rPh>
    <rPh sb="1" eb="2">
      <t>ケイ</t>
    </rPh>
    <rPh sb="7" eb="9">
      <t>センエン</t>
    </rPh>
    <rPh sb="10" eb="11">
      <t>ネン</t>
    </rPh>
    <phoneticPr fontId="1"/>
  </si>
  <si>
    <t>固定費(b)
［千円/年］</t>
    <rPh sb="0" eb="2">
      <t>コテイ</t>
    </rPh>
    <rPh sb="2" eb="3">
      <t>ヒ</t>
    </rPh>
    <rPh sb="8" eb="10">
      <t>センエン</t>
    </rPh>
    <rPh sb="11" eb="12">
      <t>ネン</t>
    </rPh>
    <phoneticPr fontId="1"/>
  </si>
  <si>
    <t>電力費(c)
［千円/年］</t>
    <rPh sb="0" eb="2">
      <t>デンリョク</t>
    </rPh>
    <rPh sb="2" eb="3">
      <t>ヒ</t>
    </rPh>
    <rPh sb="8" eb="10">
      <t>センエン</t>
    </rPh>
    <rPh sb="11" eb="12">
      <t>ネン</t>
    </rPh>
    <phoneticPr fontId="1"/>
  </si>
  <si>
    <t>現在の処理水量</t>
    <rPh sb="0" eb="2">
      <t>ゲンザイ</t>
    </rPh>
    <rPh sb="3" eb="7">
      <t>ショリスイリョウ</t>
    </rPh>
    <phoneticPr fontId="1"/>
  </si>
  <si>
    <t>　行政人口</t>
    <rPh sb="1" eb="3">
      <t>ギョウセイ</t>
    </rPh>
    <rPh sb="3" eb="5">
      <t>ジンコウ</t>
    </rPh>
    <phoneticPr fontId="1"/>
  </si>
  <si>
    <t>処理水量</t>
    <rPh sb="0" eb="2">
      <t>ショリ</t>
    </rPh>
    <rPh sb="2" eb="3">
      <t>ミズ</t>
    </rPh>
    <rPh sb="3" eb="4">
      <t>リョウ</t>
    </rPh>
    <phoneticPr fontId="1"/>
  </si>
  <si>
    <r>
      <t>A処理区（日平均）（m</t>
    </r>
    <r>
      <rPr>
        <vertAlign val="superscript"/>
        <sz val="11"/>
        <color theme="1"/>
        <rFont val="ＭＳ Ｐゴシック"/>
        <family val="3"/>
        <charset val="128"/>
        <scheme val="minor"/>
      </rPr>
      <t>3</t>
    </r>
    <r>
      <rPr>
        <sz val="11"/>
        <color theme="1"/>
        <rFont val="ＭＳ Ｐゴシック"/>
        <family val="2"/>
        <charset val="128"/>
        <scheme val="minor"/>
      </rPr>
      <t>/日）</t>
    </r>
    <rPh sb="5" eb="6">
      <t>ニチ</t>
    </rPh>
    <rPh sb="6" eb="8">
      <t>ヘイキン</t>
    </rPh>
    <phoneticPr fontId="1"/>
  </si>
  <si>
    <r>
      <t>A処理区（日最大）（m</t>
    </r>
    <r>
      <rPr>
        <vertAlign val="superscript"/>
        <sz val="11"/>
        <color theme="1"/>
        <rFont val="ＭＳ Ｐゴシック"/>
        <family val="3"/>
        <charset val="128"/>
        <scheme val="minor"/>
      </rPr>
      <t>3</t>
    </r>
    <r>
      <rPr>
        <sz val="11"/>
        <color theme="1"/>
        <rFont val="ＭＳ Ｐゴシック"/>
        <family val="2"/>
        <charset val="128"/>
        <scheme val="minor"/>
      </rPr>
      <t>/日）</t>
    </r>
    <rPh sb="5" eb="6">
      <t>ニチ</t>
    </rPh>
    <rPh sb="6" eb="8">
      <t>サイダイ</t>
    </rPh>
    <phoneticPr fontId="1"/>
  </si>
  <si>
    <t>備考</t>
    <rPh sb="0" eb="2">
      <t>ビコウ</t>
    </rPh>
    <phoneticPr fontId="1"/>
  </si>
  <si>
    <t>水処理維持管理原単位①
（更新前）</t>
    <rPh sb="0" eb="1">
      <t>ミズ</t>
    </rPh>
    <rPh sb="1" eb="3">
      <t>ショリ</t>
    </rPh>
    <rPh sb="13" eb="16">
      <t>コウシンマエ</t>
    </rPh>
    <phoneticPr fontId="1"/>
  </si>
  <si>
    <t>水処理維持管理原単位②
（更新後）</t>
    <rPh sb="0" eb="1">
      <t>ミズ</t>
    </rPh>
    <rPh sb="1" eb="3">
      <t>ショリ</t>
    </rPh>
    <rPh sb="13" eb="16">
      <t>コウシンゴ</t>
    </rPh>
    <phoneticPr fontId="1"/>
  </si>
  <si>
    <t>④維持管理係数の比</t>
    <rPh sb="8" eb="9">
      <t>ヒ</t>
    </rPh>
    <phoneticPr fontId="1"/>
  </si>
  <si>
    <t>：「当該年次の維持管理係数」/「基準年の維持管理係数」</t>
    <rPh sb="2" eb="4">
      <t>トウガイ</t>
    </rPh>
    <rPh sb="4" eb="6">
      <t>ネンジ</t>
    </rPh>
    <rPh sb="16" eb="18">
      <t>キジュン</t>
    </rPh>
    <rPh sb="18" eb="19">
      <t>ネン</t>
    </rPh>
    <phoneticPr fontId="1"/>
  </si>
  <si>
    <t>係数1</t>
    <rPh sb="0" eb="2">
      <t>ケイスウ</t>
    </rPh>
    <phoneticPr fontId="1"/>
  </si>
  <si>
    <t>係数2</t>
    <rPh sb="0" eb="2">
      <t>ケイスウ</t>
    </rPh>
    <phoneticPr fontId="1"/>
  </si>
  <si>
    <t>基準</t>
    <rPh sb="0" eb="2">
      <t>キジュン</t>
    </rPh>
    <phoneticPr fontId="1"/>
  </si>
  <si>
    <t>：更新年次の「流入水量」／0.7（変動率）の500区切りで設定（A下水処理場は12年目に更新）</t>
    <rPh sb="41" eb="43">
      <t>ネンメ</t>
    </rPh>
    <phoneticPr fontId="1"/>
  </si>
  <si>
    <t>：（A下水処理場）ｙ＝（72,734×（「①処理能力」）＾0.42）/1000*(1+23.8/33.4)</t>
    <rPh sb="3" eb="5">
      <t>ゲスイ</t>
    </rPh>
    <rPh sb="5" eb="8">
      <t>ショリジョウ</t>
    </rPh>
    <phoneticPr fontId="1"/>
  </si>
  <si>
    <t>存続する水処理系の割合</t>
    <rPh sb="0" eb="2">
      <t>ソンゾク</t>
    </rPh>
    <rPh sb="4" eb="5">
      <t>ミズ</t>
    </rPh>
    <rPh sb="5" eb="7">
      <t>ショリ</t>
    </rPh>
    <rPh sb="7" eb="8">
      <t>ケイ</t>
    </rPh>
    <rPh sb="9" eb="11">
      <t>ワリアイ</t>
    </rPh>
    <phoneticPr fontId="1"/>
  </si>
  <si>
    <t>現状の汚泥処理量（事業計画書の容量計算書で確認）</t>
    <rPh sb="0" eb="2">
      <t>ゲンジョウ</t>
    </rPh>
    <rPh sb="3" eb="5">
      <t>オデイ</t>
    </rPh>
    <rPh sb="5" eb="7">
      <t>ショリ</t>
    </rPh>
    <rPh sb="7" eb="8">
      <t>リョウ</t>
    </rPh>
    <rPh sb="9" eb="11">
      <t>ジギョウ</t>
    </rPh>
    <rPh sb="13" eb="14">
      <t>ショ</t>
    </rPh>
    <rPh sb="19" eb="20">
      <t>ショ</t>
    </rPh>
    <rPh sb="21" eb="23">
      <t>カクニン</t>
    </rPh>
    <phoneticPr fontId="1"/>
  </si>
  <si>
    <t>判定</t>
    <rPh sb="0" eb="2">
      <t>ハンテイ</t>
    </rPh>
    <phoneticPr fontId="1"/>
  </si>
  <si>
    <t>施設能力</t>
    <rPh sb="0" eb="2">
      <t>シセツ</t>
    </rPh>
    <rPh sb="2" eb="4">
      <t>ノウリョク</t>
    </rPh>
    <phoneticPr fontId="1"/>
  </si>
  <si>
    <t>汚水量由来</t>
    <rPh sb="0" eb="2">
      <t>オスイ</t>
    </rPh>
    <rPh sb="2" eb="3">
      <t>リョウ</t>
    </rPh>
    <rPh sb="3" eb="5">
      <t>ユライ</t>
    </rPh>
    <phoneticPr fontId="1"/>
  </si>
  <si>
    <t>機器仕様</t>
    <rPh sb="0" eb="2">
      <t>キキ</t>
    </rPh>
    <rPh sb="2" eb="4">
      <t>シヨウ</t>
    </rPh>
    <phoneticPr fontId="1"/>
  </si>
  <si>
    <t>投入条件
TS［％］</t>
    <rPh sb="0" eb="2">
      <t>トウニュウ</t>
    </rPh>
    <rPh sb="2" eb="4">
      <t>ジョウケン</t>
    </rPh>
    <phoneticPr fontId="1"/>
  </si>
  <si>
    <r>
      <t xml:space="preserve">Ａ
水量比
</t>
    </r>
    <r>
      <rPr>
        <vertAlign val="superscript"/>
        <sz val="9"/>
        <color theme="1"/>
        <rFont val="ＭＳ Ｐゴシック"/>
        <family val="3"/>
        <charset val="128"/>
        <scheme val="minor"/>
      </rPr>
      <t>※1</t>
    </r>
    <rPh sb="2" eb="4">
      <t>スイリョウ</t>
    </rPh>
    <rPh sb="4" eb="5">
      <t>ヒ</t>
    </rPh>
    <phoneticPr fontId="1"/>
  </si>
  <si>
    <r>
      <t>Ｂ
施設能力
［m</t>
    </r>
    <r>
      <rPr>
        <vertAlign val="superscript"/>
        <sz val="9"/>
        <color theme="1"/>
        <rFont val="ＭＳ Ｐゴシック"/>
        <family val="3"/>
        <charset val="128"/>
        <scheme val="minor"/>
      </rPr>
      <t>3</t>
    </r>
    <r>
      <rPr>
        <sz val="9"/>
        <color theme="1"/>
        <rFont val="ＭＳ Ｐゴシック"/>
        <family val="3"/>
        <charset val="128"/>
        <scheme val="minor"/>
      </rPr>
      <t>/日］</t>
    </r>
    <r>
      <rPr>
        <vertAlign val="superscript"/>
        <sz val="9"/>
        <color theme="1"/>
        <rFont val="ＭＳ Ｐゴシック"/>
        <family val="3"/>
        <charset val="128"/>
        <scheme val="minor"/>
      </rPr>
      <t>※2</t>
    </r>
    <rPh sb="2" eb="4">
      <t>シセツ</t>
    </rPh>
    <phoneticPr fontId="1"/>
  </si>
  <si>
    <r>
      <t>Ｃ
汚泥処理量①
［m</t>
    </r>
    <r>
      <rPr>
        <vertAlign val="superscript"/>
        <sz val="9"/>
        <color theme="1"/>
        <rFont val="ＭＳ Ｐゴシック"/>
        <family val="3"/>
        <charset val="128"/>
        <scheme val="minor"/>
      </rPr>
      <t>3</t>
    </r>
    <r>
      <rPr>
        <sz val="9"/>
        <color theme="1"/>
        <rFont val="ＭＳ Ｐゴシック"/>
        <family val="3"/>
        <charset val="128"/>
        <scheme val="minor"/>
      </rPr>
      <t>/日］
日最大ベース</t>
    </r>
    <rPh sb="2" eb="4">
      <t>オデイ</t>
    </rPh>
    <rPh sb="4" eb="6">
      <t>ショリ</t>
    </rPh>
    <rPh sb="6" eb="7">
      <t>リョウ</t>
    </rPh>
    <rPh sb="13" eb="14">
      <t>ニチ</t>
    </rPh>
    <phoneticPr fontId="1"/>
  </si>
  <si>
    <t>汚泥</t>
    <rPh sb="0" eb="2">
      <t>オデイ</t>
    </rPh>
    <phoneticPr fontId="1"/>
  </si>
  <si>
    <t>重力濃縮</t>
    <rPh sb="0" eb="2">
      <t>ジュウリョク</t>
    </rPh>
    <rPh sb="2" eb="4">
      <t>ノウシュク</t>
    </rPh>
    <phoneticPr fontId="1"/>
  </si>
  <si>
    <t>-</t>
    <phoneticPr fontId="1"/>
  </si>
  <si>
    <t>○</t>
    <phoneticPr fontId="1"/>
  </si>
  <si>
    <t>m3/時（2台）</t>
    <rPh sb="3" eb="4">
      <t>ジ</t>
    </rPh>
    <rPh sb="6" eb="7">
      <t>ダイ</t>
    </rPh>
    <phoneticPr fontId="1"/>
  </si>
  <si>
    <t>脱水機</t>
    <rPh sb="0" eb="3">
      <t>ダッスイキ</t>
    </rPh>
    <phoneticPr fontId="1"/>
  </si>
  <si>
    <t>水処理系（日最大水量）</t>
    <rPh sb="0" eb="1">
      <t>ミズ</t>
    </rPh>
    <rPh sb="1" eb="3">
      <t>ショリ</t>
    </rPh>
    <rPh sb="3" eb="4">
      <t>ケイ</t>
    </rPh>
    <rPh sb="5" eb="6">
      <t>ヒ</t>
    </rPh>
    <rPh sb="6" eb="8">
      <t>サイダイ</t>
    </rPh>
    <rPh sb="8" eb="10">
      <t>スイリョウ</t>
    </rPh>
    <phoneticPr fontId="1"/>
  </si>
  <si>
    <t>-</t>
    <phoneticPr fontId="1"/>
  </si>
  <si>
    <t>※1容量計算書における、水処理系の流入水量に対する各処理工程の投入汚泥量の比</t>
    <rPh sb="2" eb="4">
      <t>ヨウリョウ</t>
    </rPh>
    <rPh sb="4" eb="6">
      <t>ケイサン</t>
    </rPh>
    <rPh sb="6" eb="7">
      <t>ショ</t>
    </rPh>
    <rPh sb="12" eb="16">
      <t>ミズショリケイ</t>
    </rPh>
    <rPh sb="17" eb="21">
      <t>リュウニュウスイリョウ</t>
    </rPh>
    <rPh sb="22" eb="23">
      <t>タイ</t>
    </rPh>
    <rPh sb="25" eb="26">
      <t>カク</t>
    </rPh>
    <rPh sb="26" eb="28">
      <t>ショリ</t>
    </rPh>
    <rPh sb="28" eb="30">
      <t>コウテイ</t>
    </rPh>
    <rPh sb="31" eb="36">
      <t>トウニュウオデイリョウ</t>
    </rPh>
    <rPh sb="37" eb="38">
      <t>ヒ</t>
    </rPh>
    <phoneticPr fontId="1"/>
  </si>
  <si>
    <t>電力係数の比</t>
    <rPh sb="0" eb="2">
      <t>デンリョク</t>
    </rPh>
    <rPh sb="2" eb="4">
      <t>ケイスウ</t>
    </rPh>
    <rPh sb="5" eb="6">
      <t>ヒ</t>
    </rPh>
    <phoneticPr fontId="1"/>
  </si>
  <si>
    <t>1（現在）</t>
    <rPh sb="2" eb="4">
      <t>ゲンザイ</t>
    </rPh>
    <phoneticPr fontId="1"/>
  </si>
  <si>
    <t>1（現在）</t>
    <rPh sb="2" eb="4">
      <t>ゲンザイ</t>
    </rPh>
    <phoneticPr fontId="1"/>
  </si>
  <si>
    <t>②処理水量（日平均）</t>
    <rPh sb="1" eb="3">
      <t>ショリ</t>
    </rPh>
    <rPh sb="3" eb="5">
      <t>スイリョウ</t>
    </rPh>
    <rPh sb="6" eb="7">
      <t>ニチ</t>
    </rPh>
    <rPh sb="7" eb="9">
      <t>ヘイキン</t>
    </rPh>
    <phoneticPr fontId="1"/>
  </si>
  <si>
    <t>：「②処理水量（日平均）」/「①処理能力」</t>
    <rPh sb="3" eb="5">
      <t>ショリ</t>
    </rPh>
    <rPh sb="5" eb="7">
      <t>スイリョウ</t>
    </rPh>
    <rPh sb="8" eb="9">
      <t>ニチ</t>
    </rPh>
    <rPh sb="9" eb="11">
      <t>ヘイキン</t>
    </rPh>
    <rPh sb="16" eb="18">
      <t>ショリ</t>
    </rPh>
    <rPh sb="18" eb="20">
      <t>ノウリョク</t>
    </rPh>
    <phoneticPr fontId="1"/>
  </si>
  <si>
    <r>
      <t>※2汚泥処理量もm</t>
    </r>
    <r>
      <rPr>
        <vertAlign val="superscript"/>
        <sz val="9"/>
        <color theme="1"/>
        <rFont val="ＭＳ Ｐゴシック"/>
        <family val="3"/>
        <charset val="128"/>
        <scheme val="minor"/>
      </rPr>
      <t>3</t>
    </r>
    <r>
      <rPr>
        <sz val="9"/>
        <color theme="1"/>
        <rFont val="ＭＳ Ｐゴシック"/>
        <family val="3"/>
        <charset val="128"/>
        <scheme val="minor"/>
      </rPr>
      <t>/日換算して計上</t>
    </r>
    <rPh sb="2" eb="4">
      <t>オデイ</t>
    </rPh>
    <rPh sb="4" eb="6">
      <t>ショリ</t>
    </rPh>
    <rPh sb="6" eb="7">
      <t>リョウ</t>
    </rPh>
    <rPh sb="12" eb="14">
      <t>カンザン</t>
    </rPh>
    <rPh sb="16" eb="18">
      <t>ケイジョウ</t>
    </rPh>
    <phoneticPr fontId="1"/>
  </si>
  <si>
    <t>：「②処理水量（日平均）」/「①処理能力」</t>
    <rPh sb="3" eb="7">
      <t>ショリスイリョウ</t>
    </rPh>
    <rPh sb="8" eb="9">
      <t>ヒ</t>
    </rPh>
    <rPh sb="9" eb="11">
      <t>ヘイキン</t>
    </rPh>
    <rPh sb="16" eb="18">
      <t>ショリ</t>
    </rPh>
    <rPh sb="18" eb="20">
      <t>ノウリョク</t>
    </rPh>
    <phoneticPr fontId="1"/>
  </si>
  <si>
    <t>A下水処理場
（統合前）</t>
    <rPh sb="8" eb="10">
      <t>トウゴウ</t>
    </rPh>
    <rPh sb="10" eb="11">
      <t>マエ</t>
    </rPh>
    <phoneticPr fontId="1"/>
  </si>
  <si>
    <t>A下水処理場
（統合後）</t>
    <rPh sb="8" eb="10">
      <t>トウゴウ</t>
    </rPh>
    <rPh sb="10" eb="11">
      <t>アト</t>
    </rPh>
    <phoneticPr fontId="1"/>
  </si>
  <si>
    <t>消費エネルギー量
［千MJ］</t>
    <rPh sb="10" eb="11">
      <t>セン</t>
    </rPh>
    <phoneticPr fontId="1"/>
  </si>
  <si>
    <r>
      <t>GHG排出量［t-CO</t>
    </r>
    <r>
      <rPr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3"/>
        <charset val="128"/>
        <scheme val="minor"/>
      </rPr>
      <t>］
【二酸化炭素由来】</t>
    </r>
    <rPh sb="15" eb="18">
      <t>ニサンカ</t>
    </rPh>
    <rPh sb="18" eb="20">
      <t>タンソ</t>
    </rPh>
    <rPh sb="20" eb="22">
      <t>ユライ</t>
    </rPh>
    <phoneticPr fontId="1"/>
  </si>
  <si>
    <t>A処理場に統合</t>
    <rPh sb="1" eb="3">
      <t>ショリ</t>
    </rPh>
    <rPh sb="3" eb="4">
      <t>ジョウ</t>
    </rPh>
    <rPh sb="5" eb="7">
      <t>トウゴウ</t>
    </rPh>
    <phoneticPr fontId="1"/>
  </si>
  <si>
    <r>
      <t>処理水量（日平均）
[m</t>
    </r>
    <r>
      <rPr>
        <vertAlign val="superscript"/>
        <sz val="11"/>
        <color theme="1"/>
        <rFont val="ＭＳ Ｐゴシック"/>
        <family val="3"/>
        <charset val="128"/>
        <scheme val="minor"/>
      </rPr>
      <t>3</t>
    </r>
    <r>
      <rPr>
        <sz val="11"/>
        <color theme="1"/>
        <rFont val="ＭＳ Ｐゴシック"/>
        <family val="2"/>
        <charset val="128"/>
        <scheme val="minor"/>
      </rPr>
      <t>/日］</t>
    </r>
    <rPh sb="0" eb="2">
      <t>ショリ</t>
    </rPh>
    <rPh sb="2" eb="4">
      <t>スイリョウ</t>
    </rPh>
    <rPh sb="5" eb="6">
      <t>ニチ</t>
    </rPh>
    <rPh sb="6" eb="8">
      <t>ヘイキン</t>
    </rPh>
    <rPh sb="14" eb="15">
      <t>ニチ</t>
    </rPh>
    <phoneticPr fontId="1"/>
  </si>
  <si>
    <r>
      <t>GHG排出量［t-CH</t>
    </r>
    <r>
      <rPr>
        <vertAlign val="subscript"/>
        <sz val="11"/>
        <color theme="1"/>
        <rFont val="ＭＳ Ｐゴシック"/>
        <family val="3"/>
        <charset val="128"/>
        <scheme val="minor"/>
      </rPr>
      <t>4</t>
    </r>
    <r>
      <rPr>
        <sz val="11"/>
        <color theme="1"/>
        <rFont val="ＭＳ Ｐゴシック"/>
        <family val="3"/>
        <charset val="128"/>
        <scheme val="minor"/>
      </rPr>
      <t>］
【メタン由来】</t>
    </r>
    <phoneticPr fontId="1"/>
  </si>
  <si>
    <r>
      <t>GHG排出量［t-N</t>
    </r>
    <r>
      <rPr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3"/>
        <charset val="128"/>
        <scheme val="minor"/>
      </rPr>
      <t>O］
【一酸化二窒素由来】</t>
    </r>
    <rPh sb="15" eb="18">
      <t>イッサンカ</t>
    </rPh>
    <rPh sb="18" eb="19">
      <t>ニ</t>
    </rPh>
    <rPh sb="19" eb="21">
      <t>チッソ</t>
    </rPh>
    <phoneticPr fontId="1"/>
  </si>
  <si>
    <r>
      <t>単位：円/ｍ</t>
    </r>
    <r>
      <rPr>
        <vertAlign val="superscript"/>
        <sz val="11"/>
        <color theme="1"/>
        <rFont val="ＭＳ Ｐゴシック"/>
        <family val="3"/>
        <charset val="128"/>
        <scheme val="minor"/>
      </rPr>
      <t>3　</t>
    </r>
    <r>
      <rPr>
        <sz val="11"/>
        <color theme="1"/>
        <rFont val="ＭＳ Ｐゴシック"/>
        <family val="3"/>
        <charset val="128"/>
        <scheme val="minor"/>
      </rPr>
      <t>※１</t>
    </r>
    <rPh sb="0" eb="2">
      <t>タンイ</t>
    </rPh>
    <rPh sb="3" eb="4">
      <t>エン</t>
    </rPh>
    <phoneticPr fontId="1"/>
  </si>
  <si>
    <t>実績値
消費電力量kw/年</t>
    <rPh sb="0" eb="3">
      <t>ジッセキチ</t>
    </rPh>
    <rPh sb="4" eb="6">
      <t>ショウヒ</t>
    </rPh>
    <rPh sb="6" eb="8">
      <t>デンリョク</t>
    </rPh>
    <rPh sb="8" eb="9">
      <t>リョウ</t>
    </rPh>
    <rPh sb="12" eb="13">
      <t>ネン</t>
    </rPh>
    <phoneticPr fontId="1"/>
  </si>
  <si>
    <t>単位消費電力量ｋｗ/m3</t>
    <rPh sb="0" eb="2">
      <t>タンイ</t>
    </rPh>
    <rPh sb="2" eb="4">
      <t>ショウヒ</t>
    </rPh>
    <rPh sb="4" eb="6">
      <t>デンリョク</t>
    </rPh>
    <rPh sb="6" eb="7">
      <t>リョウ</t>
    </rPh>
    <phoneticPr fontId="1"/>
  </si>
  <si>
    <r>
      <t>GHG排出量［t-CO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］
【合計】</t>
    </r>
    <rPh sb="3" eb="5">
      <t>ハイシュツ</t>
    </rPh>
    <rPh sb="5" eb="6">
      <t>リョウ</t>
    </rPh>
    <rPh sb="15" eb="16">
      <t>ゴウ</t>
    </rPh>
    <rPh sb="16" eb="17">
      <t>ケイ</t>
    </rPh>
    <phoneticPr fontId="1"/>
  </si>
  <si>
    <r>
      <t>農業集落排水区（日平均）（m</t>
    </r>
    <r>
      <rPr>
        <vertAlign val="superscript"/>
        <sz val="11"/>
        <color theme="1"/>
        <rFont val="ＭＳ Ｐゴシック"/>
        <family val="3"/>
        <charset val="128"/>
        <scheme val="minor"/>
      </rPr>
      <t>3</t>
    </r>
    <r>
      <rPr>
        <sz val="11"/>
        <color theme="1"/>
        <rFont val="ＭＳ Ｐゴシック"/>
        <family val="2"/>
        <charset val="128"/>
        <scheme val="minor"/>
      </rPr>
      <t>/日）</t>
    </r>
    <rPh sb="8" eb="9">
      <t>ニチ</t>
    </rPh>
    <rPh sb="9" eb="11">
      <t>ヘイキン</t>
    </rPh>
    <phoneticPr fontId="1"/>
  </si>
  <si>
    <t>農業集落排水区域内人口（人）</t>
    <rPh sb="0" eb="2">
      <t>ノウギョウ</t>
    </rPh>
    <rPh sb="2" eb="4">
      <t>シュウラク</t>
    </rPh>
    <rPh sb="4" eb="6">
      <t>ハイスイ</t>
    </rPh>
    <rPh sb="6" eb="9">
      <t>クイキナイ</t>
    </rPh>
    <rPh sb="9" eb="11">
      <t>ジンコウ</t>
    </rPh>
    <phoneticPr fontId="1"/>
  </si>
  <si>
    <r>
      <t>農業集落排水区（日最大ベース）（m</t>
    </r>
    <r>
      <rPr>
        <vertAlign val="superscript"/>
        <sz val="11"/>
        <color theme="1"/>
        <rFont val="ＭＳ Ｐゴシック"/>
        <family val="3"/>
        <charset val="128"/>
        <scheme val="minor"/>
      </rPr>
      <t>3</t>
    </r>
    <r>
      <rPr>
        <sz val="11"/>
        <color theme="1"/>
        <rFont val="ＭＳ Ｐゴシック"/>
        <family val="2"/>
        <charset val="128"/>
        <scheme val="minor"/>
      </rPr>
      <t>/日）</t>
    </r>
    <rPh sb="8" eb="9">
      <t>ニチ</t>
    </rPh>
    <rPh sb="9" eb="11">
      <t>サイダイ</t>
    </rPh>
    <phoneticPr fontId="1"/>
  </si>
  <si>
    <t>農業集落排水施設</t>
    <rPh sb="0" eb="2">
      <t>ノウギョウ</t>
    </rPh>
    <rPh sb="2" eb="4">
      <t>シュウラク</t>
    </rPh>
    <rPh sb="4" eb="6">
      <t>ハイスイ</t>
    </rPh>
    <rPh sb="6" eb="8">
      <t>シセツ</t>
    </rPh>
    <phoneticPr fontId="1"/>
  </si>
  <si>
    <t>JARUSⅢ</t>
    <phoneticPr fontId="1"/>
  </si>
  <si>
    <t>維持管理係数</t>
    <phoneticPr fontId="1"/>
  </si>
  <si>
    <t>：A下水処理場は更新年次の「処理水量（日平均）」／0.7（変動率）の500区切りで、農業集落排水施設は処理水量（日平均）で設定（A下水処理場は12年目、B下水処理場は6年目に更新）</t>
    <rPh sb="14" eb="16">
      <t>ショリ</t>
    </rPh>
    <rPh sb="19" eb="20">
      <t>ニチ</t>
    </rPh>
    <rPh sb="20" eb="22">
      <t>ヘイキン</t>
    </rPh>
    <rPh sb="42" eb="44">
      <t>ノウギョウ</t>
    </rPh>
    <rPh sb="44" eb="46">
      <t>シュウラク</t>
    </rPh>
    <rPh sb="46" eb="48">
      <t>ハイスイ</t>
    </rPh>
    <rPh sb="48" eb="50">
      <t>シセツ</t>
    </rPh>
    <rPh sb="51" eb="53">
      <t>ショリ</t>
    </rPh>
    <rPh sb="53" eb="55">
      <t>スイリョウ</t>
    </rPh>
    <rPh sb="56" eb="57">
      <t>ニチ</t>
    </rPh>
    <rPh sb="57" eb="59">
      <t>ヘイキン</t>
    </rPh>
    <rPh sb="61" eb="63">
      <t>セッテイ</t>
    </rPh>
    <rPh sb="73" eb="75">
      <t>ネンメ</t>
    </rPh>
    <rPh sb="84" eb="86">
      <t>ネンメ</t>
    </rPh>
    <phoneticPr fontId="1"/>
  </si>
  <si>
    <r>
      <t>：「②処理水量（日平均）」×365日×「④維持管理係数の比」×「維持管理原単位」（維持管理原単位は更新前はA処理場が75円/ｍ</t>
    </r>
    <r>
      <rPr>
        <vertAlign val="superscript"/>
        <sz val="11"/>
        <color theme="1"/>
        <rFont val="ＭＳ Ｐゴシック"/>
        <family val="3"/>
        <charset val="128"/>
        <scheme val="minor"/>
      </rPr>
      <t>3</t>
    </r>
    <r>
      <rPr>
        <sz val="11"/>
        <color theme="1"/>
        <rFont val="ＭＳ Ｐゴシック"/>
        <family val="2"/>
        <charset val="128"/>
        <scheme val="minor"/>
      </rPr>
      <t>、農業集落排水施設が180円/m</t>
    </r>
    <r>
      <rPr>
        <vertAlign val="superscript"/>
        <sz val="11"/>
        <color theme="1"/>
        <rFont val="ＭＳ Ｐゴシック"/>
        <family val="3"/>
        <charset val="128"/>
        <scheme val="minor"/>
      </rPr>
      <t>3</t>
    </r>
    <r>
      <rPr>
        <sz val="11"/>
        <color theme="1"/>
        <rFont val="ＭＳ Ｐゴシック"/>
        <family val="3"/>
        <charset val="128"/>
        <scheme val="minor"/>
      </rPr>
      <t>、更新後はA処理場が48円/ｍ</t>
    </r>
    <r>
      <rPr>
        <vertAlign val="superscript"/>
        <sz val="11"/>
        <color theme="1"/>
        <rFont val="ＭＳ Ｐゴシック"/>
        <family val="3"/>
        <charset val="128"/>
        <scheme val="minor"/>
      </rPr>
      <t>3</t>
    </r>
    <r>
      <rPr>
        <sz val="11"/>
        <color theme="1"/>
        <rFont val="ＭＳ Ｐゴシック"/>
        <family val="3"/>
        <charset val="128"/>
        <scheme val="minor"/>
      </rPr>
      <t>、農業集落排水施設が38円/m</t>
    </r>
    <r>
      <rPr>
        <vertAlign val="superscript"/>
        <sz val="11"/>
        <color theme="1"/>
        <rFont val="ＭＳ Ｐゴシック"/>
        <family val="3"/>
        <charset val="128"/>
        <scheme val="minor"/>
      </rPr>
      <t>3</t>
    </r>
    <r>
      <rPr>
        <sz val="11"/>
        <color theme="1"/>
        <rFont val="ＭＳ Ｐゴシック"/>
        <family val="2"/>
        <charset val="128"/>
        <scheme val="minor"/>
      </rPr>
      <t>）</t>
    </r>
    <rPh sb="3" eb="5">
      <t>ショリ</t>
    </rPh>
    <rPh sb="5" eb="7">
      <t>スイリョウ</t>
    </rPh>
    <rPh sb="8" eb="9">
      <t>ニチ</t>
    </rPh>
    <rPh sb="9" eb="11">
      <t>ヘイキン</t>
    </rPh>
    <rPh sb="17" eb="18">
      <t>ニチ</t>
    </rPh>
    <rPh sb="28" eb="29">
      <t>ヒ</t>
    </rPh>
    <rPh sb="32" eb="34">
      <t>イジ</t>
    </rPh>
    <rPh sb="34" eb="36">
      <t>カンリ</t>
    </rPh>
    <rPh sb="36" eb="39">
      <t>ゲンタンイ</t>
    </rPh>
    <rPh sb="41" eb="43">
      <t>イジ</t>
    </rPh>
    <rPh sb="43" eb="45">
      <t>カンリ</t>
    </rPh>
    <rPh sb="45" eb="48">
      <t>ゲンタンイ</t>
    </rPh>
    <rPh sb="49" eb="52">
      <t>コウシンマエ</t>
    </rPh>
    <rPh sb="54" eb="57">
      <t>ショリジョウ</t>
    </rPh>
    <rPh sb="60" eb="61">
      <t>エン</t>
    </rPh>
    <rPh sb="77" eb="78">
      <t>エン</t>
    </rPh>
    <rPh sb="84" eb="85">
      <t>アト</t>
    </rPh>
    <rPh sb="98" eb="100">
      <t>ノウギョウ</t>
    </rPh>
    <rPh sb="100" eb="102">
      <t>シュウラク</t>
    </rPh>
    <rPh sb="102" eb="104">
      <t>ハイスイ</t>
    </rPh>
    <rPh sb="104" eb="106">
      <t>シセツ</t>
    </rPh>
    <phoneticPr fontId="1"/>
  </si>
  <si>
    <t>②-2計画人口</t>
    <rPh sb="3" eb="5">
      <t>ケイカク</t>
    </rPh>
    <rPh sb="5" eb="7">
      <t>ジンコウ</t>
    </rPh>
    <phoneticPr fontId="1"/>
  </si>
  <si>
    <t>現状（１年目）の
電力係数</t>
    <rPh sb="0" eb="2">
      <t>ゲンジョウ</t>
    </rPh>
    <rPh sb="4" eb="6">
      <t>ネンメ</t>
    </rPh>
    <rPh sb="9" eb="11">
      <t>デンリョク</t>
    </rPh>
    <rPh sb="11" eb="13">
      <t>ケイスウ</t>
    </rPh>
    <phoneticPr fontId="1"/>
  </si>
  <si>
    <t>←農業集落排水施設の分類は無いため、下水処理施設（終末処理場）と同じ数値を使用することとする。</t>
    <rPh sb="1" eb="3">
      <t>ノウギョウ</t>
    </rPh>
    <rPh sb="3" eb="5">
      <t>シュウラク</t>
    </rPh>
    <rPh sb="5" eb="7">
      <t>ハイスイ</t>
    </rPh>
    <rPh sb="7" eb="9">
      <t>シセツ</t>
    </rPh>
    <rPh sb="10" eb="12">
      <t>ブンルイ</t>
    </rPh>
    <rPh sb="13" eb="14">
      <t>ナ</t>
    </rPh>
    <rPh sb="18" eb="20">
      <t>ゲスイ</t>
    </rPh>
    <rPh sb="20" eb="22">
      <t>ショリ</t>
    </rPh>
    <rPh sb="22" eb="24">
      <t>シセツ</t>
    </rPh>
    <rPh sb="25" eb="27">
      <t>シュウマツ</t>
    </rPh>
    <rPh sb="27" eb="29">
      <t>ショリ</t>
    </rPh>
    <rPh sb="29" eb="30">
      <t>ジョウ</t>
    </rPh>
    <rPh sb="32" eb="33">
      <t>オナ</t>
    </rPh>
    <rPh sb="34" eb="36">
      <t>スウチ</t>
    </rPh>
    <rPh sb="37" eb="39">
      <t>シヨウ</t>
    </rPh>
    <phoneticPr fontId="1"/>
  </si>
  <si>
    <t>※１：維持管理費÷処理水量</t>
    <rPh sb="3" eb="8">
      <t>イジカンリヒ</t>
    </rPh>
    <rPh sb="9" eb="13">
      <t>ショリスイリョウ</t>
    </rPh>
    <phoneticPr fontId="1"/>
  </si>
  <si>
    <t>下水+農集（再編ケース）</t>
    <rPh sb="0" eb="2">
      <t>ゲスイ</t>
    </rPh>
    <rPh sb="3" eb="4">
      <t>ノウ</t>
    </rPh>
    <rPh sb="4" eb="5">
      <t>シュウ</t>
    </rPh>
    <rPh sb="6" eb="8">
      <t>サイヘン</t>
    </rPh>
    <phoneticPr fontId="1"/>
  </si>
  <si>
    <t>維持管理費
原単位</t>
    <rPh sb="0" eb="2">
      <t>イジ</t>
    </rPh>
    <rPh sb="2" eb="4">
      <t>カンリ</t>
    </rPh>
    <rPh sb="4" eb="5">
      <t>ヒ</t>
    </rPh>
    <rPh sb="6" eb="9">
      <t>ゲンタンイ</t>
    </rPh>
    <phoneticPr fontId="1"/>
  </si>
  <si>
    <t>統合時の
汚泥処理量</t>
    <rPh sb="0" eb="2">
      <t>トウゴウ</t>
    </rPh>
    <rPh sb="2" eb="3">
      <t>ジ</t>
    </rPh>
    <rPh sb="5" eb="7">
      <t>オデイ</t>
    </rPh>
    <rPh sb="7" eb="9">
      <t>ショリ</t>
    </rPh>
    <rPh sb="9" eb="10">
      <t>リョウ</t>
    </rPh>
    <phoneticPr fontId="1"/>
  </si>
  <si>
    <t>C≦Ｂ</t>
    <phoneticPr fontId="1"/>
  </si>
  <si>
    <t>：（A下水処理場）ｙ＝（72,734×（「①処理能力」）＾0.26）/1000*(1+23.8/33.4)、（農業集落排水施設）ｙ＝（2,271.2×（「②-2計画人口」）＾0.6663×1/2（費用関数で機電の占める割合）</t>
    <rPh sb="3" eb="5">
      <t>ゲスイ</t>
    </rPh>
    <rPh sb="5" eb="8">
      <t>ショリジョウ</t>
    </rPh>
    <rPh sb="55" eb="57">
      <t>ノウギョウ</t>
    </rPh>
    <rPh sb="57" eb="59">
      <t>シュウラク</t>
    </rPh>
    <rPh sb="59" eb="61">
      <t>ハイスイ</t>
    </rPh>
    <rPh sb="61" eb="63">
      <t>シセツ</t>
    </rPh>
    <rPh sb="98" eb="100">
      <t>ヒヨウ</t>
    </rPh>
    <rPh sb="100" eb="102">
      <t>カンスウ</t>
    </rPh>
    <rPh sb="103" eb="105">
      <t>キデン</t>
    </rPh>
    <rPh sb="106" eb="107">
      <t>シ</t>
    </rPh>
    <rPh sb="109" eb="111">
      <t>ワリアイ</t>
    </rPh>
    <phoneticPr fontId="1"/>
  </si>
  <si>
    <r>
      <t>：「②処理水量（日平均）」×365日×「④維持管理係数の比」×「維持管理原単位」（維持管理原単位は更新前はA処理場が75円/ｍ</t>
    </r>
    <r>
      <rPr>
        <vertAlign val="superscript"/>
        <sz val="11"/>
        <color theme="1"/>
        <rFont val="ＭＳ Ｐゴシック"/>
        <family val="3"/>
        <charset val="128"/>
        <scheme val="minor"/>
      </rPr>
      <t>3</t>
    </r>
    <r>
      <rPr>
        <sz val="11"/>
        <color theme="1"/>
        <rFont val="ＭＳ Ｐゴシック"/>
        <family val="2"/>
        <charset val="128"/>
        <scheme val="minor"/>
      </rPr>
      <t>、農業集落排水施設が</t>
    </r>
    <r>
      <rPr>
        <sz val="11"/>
        <color theme="1"/>
        <rFont val="ＭＳ Ｐゴシック"/>
        <family val="3"/>
        <charset val="128"/>
        <scheme val="minor"/>
      </rPr>
      <t>180</t>
    </r>
    <r>
      <rPr>
        <sz val="11"/>
        <color theme="1"/>
        <rFont val="ＭＳ Ｐゴシック"/>
        <family val="2"/>
        <charset val="128"/>
        <scheme val="minor"/>
      </rPr>
      <t>円/m</t>
    </r>
    <r>
      <rPr>
        <vertAlign val="superscript"/>
        <sz val="11"/>
        <color theme="1"/>
        <rFont val="ＭＳ Ｐゴシック"/>
        <family val="3"/>
        <charset val="128"/>
        <scheme val="minor"/>
      </rPr>
      <t>3</t>
    </r>
    <r>
      <rPr>
        <sz val="11"/>
        <color theme="1"/>
        <rFont val="ＭＳ Ｐゴシック"/>
        <family val="3"/>
        <charset val="128"/>
        <scheme val="minor"/>
      </rPr>
      <t>、更新後はA処理場が45円/ｍ</t>
    </r>
    <r>
      <rPr>
        <vertAlign val="superscript"/>
        <sz val="11"/>
        <color theme="1"/>
        <rFont val="ＭＳ Ｐゴシック"/>
        <family val="3"/>
        <charset val="128"/>
        <scheme val="minor"/>
      </rPr>
      <t>3</t>
    </r>
    <r>
      <rPr>
        <sz val="11"/>
        <color theme="1"/>
        <rFont val="ＭＳ Ｐゴシック"/>
        <family val="2"/>
        <charset val="128"/>
        <scheme val="minor"/>
      </rPr>
      <t>）</t>
    </r>
    <rPh sb="3" eb="7">
      <t>ショリスイリョウ</t>
    </rPh>
    <rPh sb="8" eb="9">
      <t>ヒ</t>
    </rPh>
    <rPh sb="9" eb="11">
      <t>ヘイキン</t>
    </rPh>
    <rPh sb="17" eb="18">
      <t>ニチ</t>
    </rPh>
    <rPh sb="28" eb="29">
      <t>ヒ</t>
    </rPh>
    <rPh sb="32" eb="34">
      <t>イジ</t>
    </rPh>
    <rPh sb="34" eb="36">
      <t>カンリ</t>
    </rPh>
    <rPh sb="36" eb="39">
      <t>ゲンタンイ</t>
    </rPh>
    <rPh sb="41" eb="43">
      <t>イジ</t>
    </rPh>
    <rPh sb="43" eb="45">
      <t>カンリ</t>
    </rPh>
    <rPh sb="45" eb="48">
      <t>ゲンタンイ</t>
    </rPh>
    <rPh sb="49" eb="52">
      <t>コウシンマエ</t>
    </rPh>
    <rPh sb="54" eb="57">
      <t>ショリジョウ</t>
    </rPh>
    <rPh sb="60" eb="61">
      <t>エン</t>
    </rPh>
    <rPh sb="65" eb="67">
      <t>ノウギョウ</t>
    </rPh>
    <rPh sb="67" eb="69">
      <t>シュウラク</t>
    </rPh>
    <rPh sb="69" eb="71">
      <t>ハイスイ</t>
    </rPh>
    <rPh sb="71" eb="73">
      <t>シセツ</t>
    </rPh>
    <rPh sb="77" eb="78">
      <t>エン</t>
    </rPh>
    <rPh sb="84" eb="85">
      <t>アト</t>
    </rPh>
    <phoneticPr fontId="1"/>
  </si>
  <si>
    <r>
      <rPr>
        <sz val="11"/>
        <color theme="1"/>
        <rFont val="ＭＳ Ｐゴシック"/>
        <family val="3"/>
        <charset val="128"/>
      </rPr>
      <t>A処理区（日平均）（m</t>
    </r>
    <r>
      <rPr>
        <vertAlign val="superscript"/>
        <sz val="11"/>
        <color theme="1"/>
        <rFont val="ＭＳ Ｐゴシック"/>
        <family val="3"/>
        <charset val="128"/>
      </rPr>
      <t>3</t>
    </r>
    <r>
      <rPr>
        <sz val="11"/>
        <color theme="1"/>
        <rFont val="ＭＳ Ｐゴシック"/>
        <family val="3"/>
        <charset val="128"/>
      </rPr>
      <t>/日）</t>
    </r>
  </si>
  <si>
    <r>
      <rPr>
        <sz val="11"/>
        <color theme="1"/>
        <rFont val="ＭＳ Ｐゴシック"/>
        <family val="3"/>
        <charset val="128"/>
      </rPr>
      <t>A処理区（日最大）（m</t>
    </r>
    <r>
      <rPr>
        <vertAlign val="superscript"/>
        <sz val="11"/>
        <color theme="1"/>
        <rFont val="ＭＳ Ｐゴシック"/>
        <family val="3"/>
        <charset val="128"/>
      </rPr>
      <t>3</t>
    </r>
    <r>
      <rPr>
        <sz val="11"/>
        <color theme="1"/>
        <rFont val="ＭＳ Ｐゴシック"/>
        <family val="3"/>
        <charset val="128"/>
      </rPr>
      <t>/日）</t>
    </r>
  </si>
  <si>
    <r>
      <rPr>
        <sz val="11"/>
        <color theme="1"/>
        <rFont val="ＭＳ Ｐゴシック"/>
        <family val="3"/>
        <charset val="128"/>
      </rPr>
      <t>B処理区（日平均）（m</t>
    </r>
    <r>
      <rPr>
        <vertAlign val="superscript"/>
        <sz val="11"/>
        <color theme="1"/>
        <rFont val="ＭＳ Ｐゴシック"/>
        <family val="3"/>
        <charset val="128"/>
      </rPr>
      <t>3</t>
    </r>
    <r>
      <rPr>
        <sz val="11"/>
        <color theme="1"/>
        <rFont val="ＭＳ Ｐゴシック"/>
        <family val="3"/>
        <charset val="128"/>
      </rPr>
      <t>/日）</t>
    </r>
  </si>
  <si>
    <r>
      <rPr>
        <sz val="11"/>
        <color theme="1"/>
        <rFont val="ＭＳ Ｐゴシック"/>
        <family val="3"/>
        <charset val="128"/>
      </rPr>
      <t>B処理区（日最大）（m</t>
    </r>
    <r>
      <rPr>
        <vertAlign val="superscript"/>
        <sz val="11"/>
        <color theme="1"/>
        <rFont val="ＭＳ Ｐゴシック"/>
        <family val="3"/>
        <charset val="128"/>
      </rPr>
      <t>3</t>
    </r>
    <r>
      <rPr>
        <sz val="11"/>
        <color theme="1"/>
        <rFont val="ＭＳ Ｐゴシック"/>
        <family val="3"/>
        <charset val="128"/>
      </rPr>
      <t>/日）</t>
    </r>
  </si>
  <si>
    <r>
      <rPr>
        <sz val="11"/>
        <color theme="1"/>
        <rFont val="ＭＳ Ｐゴシック"/>
        <family val="3"/>
        <charset val="128"/>
      </rPr>
      <t xml:space="preserve">発生
汚泥量
</t>
    </r>
    <r>
      <rPr>
        <sz val="10"/>
        <color theme="1"/>
        <rFont val="ＭＳ Ｐゴシック"/>
        <family val="3"/>
        <charset val="128"/>
      </rPr>
      <t>（汚泥
処理量）</t>
    </r>
  </si>
  <si>
    <t>耐用年数</t>
  </si>
  <si>
    <t>更新時期</t>
  </si>
  <si>
    <t>25年</t>
  </si>
  <si>
    <t>12年目</t>
  </si>
  <si>
    <t>6年目</t>
  </si>
  <si>
    <t>km2</t>
    <phoneticPr fontId="1"/>
  </si>
  <si>
    <t>％</t>
    <phoneticPr fontId="1"/>
  </si>
  <si>
    <t>全体計画より</t>
    <rPh sb="0" eb="2">
      <t>ゼンタイ</t>
    </rPh>
    <rPh sb="2" eb="4">
      <t>ケイカク</t>
    </rPh>
    <phoneticPr fontId="1"/>
  </si>
  <si>
    <t>未設定</t>
    <rPh sb="0" eb="3">
      <t>ミセッテイ</t>
    </rPh>
    <phoneticPr fontId="1"/>
  </si>
  <si>
    <t>A下水処理場維持管理費</t>
    <rPh sb="1" eb="3">
      <t>ゲスイ</t>
    </rPh>
    <rPh sb="3" eb="6">
      <t>ショリジョウ</t>
    </rPh>
    <rPh sb="6" eb="8">
      <t>イジ</t>
    </rPh>
    <rPh sb="8" eb="10">
      <t>カンリ</t>
    </rPh>
    <rPh sb="10" eb="11">
      <t>ヒ</t>
    </rPh>
    <phoneticPr fontId="1"/>
  </si>
  <si>
    <t>農業集落排水施設維持管理費</t>
    <rPh sb="0" eb="2">
      <t>ノウギョウ</t>
    </rPh>
    <rPh sb="2" eb="4">
      <t>シュウラク</t>
    </rPh>
    <rPh sb="4" eb="6">
      <t>ハイスイ</t>
    </rPh>
    <rPh sb="6" eb="8">
      <t>シセツ</t>
    </rPh>
    <rPh sb="8" eb="10">
      <t>イジ</t>
    </rPh>
    <rPh sb="10" eb="12">
      <t>カンリ</t>
    </rPh>
    <rPh sb="12" eb="13">
      <t>ヒ</t>
    </rPh>
    <phoneticPr fontId="1"/>
  </si>
  <si>
    <t>A下水処理場更新費</t>
    <rPh sb="1" eb="3">
      <t>ゲスイ</t>
    </rPh>
    <rPh sb="3" eb="6">
      <t>ショリジョウ</t>
    </rPh>
    <rPh sb="6" eb="9">
      <t>コウシンヒ</t>
    </rPh>
    <phoneticPr fontId="1"/>
  </si>
  <si>
    <t>接続事業建設費</t>
    <rPh sb="0" eb="2">
      <t>セツゾク</t>
    </rPh>
    <rPh sb="2" eb="4">
      <t>ジギョウ</t>
    </rPh>
    <rPh sb="4" eb="6">
      <t>ケンセツ</t>
    </rPh>
    <rPh sb="6" eb="7">
      <t>ヒ</t>
    </rPh>
    <phoneticPr fontId="1"/>
  </si>
  <si>
    <t>接続維持管理費</t>
    <rPh sb="0" eb="2">
      <t>セツゾク</t>
    </rPh>
    <rPh sb="2" eb="4">
      <t>イジ</t>
    </rPh>
    <rPh sb="4" eb="6">
      <t>カンリ</t>
    </rPh>
    <rPh sb="6" eb="7">
      <t>ヒ</t>
    </rPh>
    <phoneticPr fontId="1"/>
  </si>
  <si>
    <t>累計事業費</t>
    <rPh sb="0" eb="2">
      <t>ルイケイ</t>
    </rPh>
    <rPh sb="2" eb="5">
      <t>ジギョウヒ</t>
    </rPh>
    <phoneticPr fontId="1"/>
  </si>
  <si>
    <t>流入水量</t>
    <rPh sb="0" eb="2">
      <t>リュウニュウ</t>
    </rPh>
    <rPh sb="2" eb="4">
      <t>スイリョウ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</si>
</sst>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 * #,##0_ ;_ * \-#,##0_ ;_ * &quot;-&quot;_ ;_ @_ "/>
    <numFmt numFmtId="176" formatCode="0.0"/>
    <numFmt numFmtId="177" formatCode="#,##0.0;[Red]\-#,##0.0"/>
    <numFmt numFmtId="178" formatCode="0_ "/>
    <numFmt numFmtId="179" formatCode="0.00_ "/>
    <numFmt numFmtId="180" formatCode="0.000"/>
    <numFmt numFmtId="181" formatCode="#,##0_);[Red]\(#,##0\)"/>
    <numFmt numFmtId="182" formatCode="_ * #,##0_ ;_ * \-#,##0_ ;_ * &quot;-&quot;??_ ;_ @_ "/>
    <numFmt numFmtId="183" formatCode="0.0000"/>
  </numFmts>
  <fonts count="2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vertAlign val="superscript"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vertAlign val="superscript"/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2" tint="-0.249977111117893"/>
      <name val="ＭＳ Ｐゴシック"/>
      <family val="2"/>
      <charset val="128"/>
      <scheme val="minor"/>
    </font>
    <font>
      <vertAlign val="subscript"/>
      <sz val="11"/>
      <color theme="1"/>
      <name val="ＭＳ Ｐゴシック"/>
      <family val="3"/>
      <charset val="128"/>
      <scheme val="minor"/>
    </font>
    <font>
      <b/>
      <vertAlign val="subscript"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vertAlign val="superscript"/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 style="thin">
        <color auto="1"/>
      </left>
      <right/>
      <top style="thin">
        <color auto="1"/>
      </top>
      <bottom style="double">
        <color auto="1"/>
      </bottom>
      <diagonal style="thin">
        <color auto="1"/>
      </diagonal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2" fillId="0" borderId="0">
      <alignment vertical="center"/>
    </xf>
  </cellStyleXfs>
  <cellXfs count="305">
    <xf numFmtId="0" fontId="0" fillId="0" borderId="0" xfId="0">
      <alignment vertical="center"/>
    </xf>
    <xf numFmtId="38" fontId="0" fillId="0" borderId="0" xfId="1" applyFont="1">
      <alignment vertical="center"/>
    </xf>
    <xf numFmtId="38" fontId="0" fillId="0" borderId="1" xfId="1" applyFont="1" applyBorder="1" applyAlignment="1">
      <alignment horizontal="center" vertical="center"/>
    </xf>
    <xf numFmtId="0" fontId="0" fillId="0" borderId="1" xfId="0" applyBorder="1">
      <alignment vertical="center"/>
    </xf>
    <xf numFmtId="38" fontId="0" fillId="0" borderId="1" xfId="1" applyFont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2" xfId="0" applyBorder="1">
      <alignment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38" fontId="0" fillId="0" borderId="0" xfId="0" applyNumberFormat="1">
      <alignment vertical="center"/>
    </xf>
    <xf numFmtId="38" fontId="0" fillId="0" borderId="1" xfId="0" applyNumberFormat="1" applyBorder="1">
      <alignment vertical="center"/>
    </xf>
    <xf numFmtId="0" fontId="0" fillId="0" borderId="2" xfId="0" applyBorder="1" applyAlignment="1">
      <alignment horizontal="center" vertical="center"/>
    </xf>
    <xf numFmtId="38" fontId="0" fillId="0" borderId="2" xfId="1" applyFont="1" applyBorder="1">
      <alignment vertical="center"/>
    </xf>
    <xf numFmtId="38" fontId="0" fillId="0" borderId="2" xfId="0" applyNumberFormat="1" applyBorder="1">
      <alignment vertical="center"/>
    </xf>
    <xf numFmtId="0" fontId="0" fillId="0" borderId="5" xfId="0" applyBorder="1" applyAlignment="1">
      <alignment horizontal="center" vertical="center"/>
    </xf>
    <xf numFmtId="49" fontId="0" fillId="0" borderId="5" xfId="1" applyNumberFormat="1" applyFont="1" applyBorder="1" applyAlignment="1">
      <alignment horizontal="center" vertical="center"/>
    </xf>
    <xf numFmtId="9" fontId="0" fillId="0" borderId="1" xfId="2" applyFont="1" applyBorder="1">
      <alignment vertical="center"/>
    </xf>
    <xf numFmtId="9" fontId="0" fillId="0" borderId="2" xfId="2" applyFont="1" applyBorder="1">
      <alignment vertical="center"/>
    </xf>
    <xf numFmtId="38" fontId="0" fillId="0" borderId="5" xfId="1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" xfId="0" applyFill="1" applyBorder="1">
      <alignment vertical="center"/>
    </xf>
    <xf numFmtId="0" fontId="0" fillId="0" borderId="0" xfId="0" applyAlignment="1">
      <alignment horizontal="right" vertical="center"/>
    </xf>
    <xf numFmtId="0" fontId="0" fillId="0" borderId="8" xfId="0" applyBorder="1">
      <alignment vertical="center"/>
    </xf>
    <xf numFmtId="9" fontId="0" fillId="0" borderId="1" xfId="1" applyNumberFormat="1" applyFont="1" applyBorder="1">
      <alignment vertical="center"/>
    </xf>
    <xf numFmtId="9" fontId="0" fillId="0" borderId="1" xfId="0" applyNumberFormat="1" applyBorder="1">
      <alignment vertical="center"/>
    </xf>
    <xf numFmtId="9" fontId="0" fillId="0" borderId="2" xfId="0" applyNumberFormat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Fill="1" applyBorder="1">
      <alignment vertical="center"/>
    </xf>
    <xf numFmtId="0" fontId="0" fillId="2" borderId="1" xfId="0" applyFill="1" applyBorder="1">
      <alignment vertical="center"/>
    </xf>
    <xf numFmtId="38" fontId="0" fillId="2" borderId="2" xfId="1" applyFont="1" applyFill="1" applyBorder="1">
      <alignment vertical="center"/>
    </xf>
    <xf numFmtId="38" fontId="0" fillId="2" borderId="1" xfId="1" applyFont="1" applyFill="1" applyBorder="1">
      <alignment vertical="center"/>
    </xf>
    <xf numFmtId="0" fontId="0" fillId="3" borderId="1" xfId="0" applyFill="1" applyBorder="1">
      <alignment vertical="center"/>
    </xf>
    <xf numFmtId="0" fontId="0" fillId="4" borderId="2" xfId="0" applyFill="1" applyBorder="1">
      <alignment vertical="center"/>
    </xf>
    <xf numFmtId="9" fontId="0" fillId="4" borderId="1" xfId="2" applyFont="1" applyFill="1" applyBorder="1">
      <alignment vertical="center"/>
    </xf>
    <xf numFmtId="38" fontId="0" fillId="3" borderId="1" xfId="1" applyFont="1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8" fontId="0" fillId="0" borderId="13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" xfId="0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38" fontId="0" fillId="5" borderId="1" xfId="1" applyFont="1" applyFill="1" applyBorder="1">
      <alignment vertical="center"/>
    </xf>
    <xf numFmtId="0" fontId="0" fillId="0" borderId="0" xfId="0" applyAlignment="1">
      <alignment vertical="center" wrapText="1"/>
    </xf>
    <xf numFmtId="0" fontId="6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5" borderId="0" xfId="0" applyFill="1">
      <alignment vertical="center"/>
    </xf>
    <xf numFmtId="0" fontId="7" fillId="5" borderId="0" xfId="0" applyFont="1" applyFill="1">
      <alignment vertical="center"/>
    </xf>
    <xf numFmtId="0" fontId="8" fillId="0" borderId="0" xfId="0" applyFont="1" applyAlignment="1">
      <alignment vertical="center" wrapText="1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>
      <alignment vertical="center"/>
    </xf>
    <xf numFmtId="2" fontId="0" fillId="0" borderId="1" xfId="1" applyNumberFormat="1" applyFont="1" applyFill="1" applyBorder="1">
      <alignment vertical="center"/>
    </xf>
    <xf numFmtId="0" fontId="0" fillId="0" borderId="1" xfId="0" applyBorder="1" applyAlignment="1">
      <alignment horizontal="center" vertical="center"/>
    </xf>
    <xf numFmtId="38" fontId="8" fillId="0" borderId="1" xfId="0" applyNumberFormat="1" applyFont="1" applyBorder="1">
      <alignment vertical="center"/>
    </xf>
    <xf numFmtId="9" fontId="8" fillId="0" borderId="1" xfId="2" applyFont="1" applyBorder="1">
      <alignment vertical="center"/>
    </xf>
    <xf numFmtId="38" fontId="6" fillId="0" borderId="1" xfId="1" applyFont="1" applyBorder="1">
      <alignment vertical="center"/>
    </xf>
    <xf numFmtId="0" fontId="6" fillId="0" borderId="1" xfId="0" applyFont="1" applyBorder="1">
      <alignment vertical="center"/>
    </xf>
    <xf numFmtId="0" fontId="0" fillId="0" borderId="5" xfId="0" applyBorder="1" applyAlignment="1">
      <alignment horizontal="center" vertical="center" wrapText="1"/>
    </xf>
    <xf numFmtId="38" fontId="0" fillId="0" borderId="1" xfId="1" applyFont="1" applyBorder="1" applyAlignment="1">
      <alignment vertical="center" shrinkToFit="1"/>
    </xf>
    <xf numFmtId="178" fontId="0" fillId="0" borderId="3" xfId="0" applyNumberFormat="1" applyBorder="1">
      <alignment vertical="center"/>
    </xf>
    <xf numFmtId="178" fontId="0" fillId="0" borderId="2" xfId="0" applyNumberFormat="1" applyBorder="1">
      <alignment vertical="center"/>
    </xf>
    <xf numFmtId="0" fontId="9" fillId="0" borderId="0" xfId="0" applyFont="1">
      <alignment vertical="center"/>
    </xf>
    <xf numFmtId="179" fontId="0" fillId="0" borderId="1" xfId="0" applyNumberFormat="1" applyBorder="1">
      <alignment vertical="center"/>
    </xf>
    <xf numFmtId="38" fontId="0" fillId="0" borderId="1" xfId="1" applyFont="1" applyFill="1" applyBorder="1">
      <alignment vertical="center"/>
    </xf>
    <xf numFmtId="38" fontId="8" fillId="2" borderId="1" xfId="1" applyFont="1" applyFill="1" applyBorder="1">
      <alignment vertical="center"/>
    </xf>
    <xf numFmtId="38" fontId="8" fillId="7" borderId="1" xfId="1" applyFont="1" applyFill="1" applyBorder="1">
      <alignment vertical="center"/>
    </xf>
    <xf numFmtId="38" fontId="0" fillId="7" borderId="1" xfId="1" applyFont="1" applyFill="1" applyBorder="1">
      <alignment vertical="center"/>
    </xf>
    <xf numFmtId="0" fontId="0" fillId="0" borderId="0" xfId="0" applyFill="1">
      <alignment vertical="center"/>
    </xf>
    <xf numFmtId="0" fontId="0" fillId="0" borderId="14" xfId="0" applyFill="1" applyBorder="1" applyAlignment="1">
      <alignment horizontal="center" vertical="center"/>
    </xf>
    <xf numFmtId="176" fontId="0" fillId="0" borderId="1" xfId="0" applyNumberFormat="1" applyFill="1" applyBorder="1">
      <alignment vertical="center"/>
    </xf>
    <xf numFmtId="38" fontId="0" fillId="0" borderId="1" xfId="1" applyNumberFormat="1" applyFont="1" applyBorder="1">
      <alignment vertical="center"/>
    </xf>
    <xf numFmtId="0" fontId="0" fillId="0" borderId="1" xfId="0" applyBorder="1" applyAlignment="1">
      <alignment horizontal="center" vertical="center"/>
    </xf>
    <xf numFmtId="40" fontId="0" fillId="0" borderId="1" xfId="0" applyNumberFormat="1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9" fontId="0" fillId="0" borderId="2" xfId="2" applyFont="1" applyFill="1" applyBorder="1">
      <alignment vertical="center"/>
    </xf>
    <xf numFmtId="0" fontId="0" fillId="0" borderId="9" xfId="0" applyBorder="1" applyAlignment="1">
      <alignment horizontal="center" vertical="center" wrapText="1"/>
    </xf>
    <xf numFmtId="38" fontId="0" fillId="0" borderId="3" xfId="1" applyFont="1" applyBorder="1" applyAlignment="1">
      <alignment horizontal="center" vertical="center"/>
    </xf>
    <xf numFmtId="0" fontId="0" fillId="2" borderId="2" xfId="0" applyFill="1" applyBorder="1">
      <alignment vertical="center"/>
    </xf>
    <xf numFmtId="38" fontId="0" fillId="0" borderId="15" xfId="1" applyFont="1" applyBorder="1" applyAlignment="1">
      <alignment vertical="center"/>
    </xf>
    <xf numFmtId="0" fontId="0" fillId="0" borderId="5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38" fontId="0" fillId="8" borderId="1" xfId="1" applyFont="1" applyFill="1" applyBorder="1" applyAlignment="1">
      <alignment horizontal="center" vertical="center"/>
    </xf>
    <xf numFmtId="38" fontId="0" fillId="0" borderId="25" xfId="1" applyFont="1" applyBorder="1">
      <alignment vertical="center"/>
    </xf>
    <xf numFmtId="178" fontId="0" fillId="0" borderId="2" xfId="0" applyNumberFormat="1" applyBorder="1" applyAlignment="1">
      <alignment vertical="center" wrapText="1"/>
    </xf>
    <xf numFmtId="2" fontId="8" fillId="0" borderId="1" xfId="0" applyNumberFormat="1" applyFont="1" applyBorder="1">
      <alignment vertical="center"/>
    </xf>
    <xf numFmtId="2" fontId="6" fillId="0" borderId="1" xfId="0" applyNumberFormat="1" applyFont="1" applyBorder="1">
      <alignment vertical="center"/>
    </xf>
    <xf numFmtId="0" fontId="6" fillId="8" borderId="1" xfId="0" applyFont="1" applyFill="1" applyBorder="1">
      <alignment vertical="center"/>
    </xf>
    <xf numFmtId="180" fontId="9" fillId="0" borderId="1" xfId="1" applyNumberFormat="1" applyFont="1" applyFill="1" applyBorder="1">
      <alignment vertical="center"/>
    </xf>
    <xf numFmtId="2" fontId="9" fillId="0" borderId="1" xfId="0" applyNumberFormat="1" applyFont="1" applyBorder="1">
      <alignment vertical="center"/>
    </xf>
    <xf numFmtId="2" fontId="9" fillId="0" borderId="1" xfId="1" applyNumberFormat="1" applyFont="1" applyFill="1" applyBorder="1">
      <alignment vertical="center"/>
    </xf>
    <xf numFmtId="38" fontId="9" fillId="0" borderId="1" xfId="1" applyFont="1" applyBorder="1">
      <alignment vertical="center"/>
    </xf>
    <xf numFmtId="0" fontId="9" fillId="0" borderId="1" xfId="0" applyFont="1" applyBorder="1">
      <alignment vertical="center"/>
    </xf>
    <xf numFmtId="38" fontId="0" fillId="0" borderId="1" xfId="1" applyFont="1" applyFill="1" applyBorder="1" applyAlignment="1">
      <alignment horizontal="center" vertical="center"/>
    </xf>
    <xf numFmtId="2" fontId="8" fillId="8" borderId="1" xfId="0" applyNumberFormat="1" applyFont="1" applyFill="1" applyBorder="1">
      <alignment vertical="center"/>
    </xf>
    <xf numFmtId="2" fontId="6" fillId="8" borderId="1" xfId="0" applyNumberFormat="1" applyFont="1" applyFill="1" applyBorder="1">
      <alignment vertical="center"/>
    </xf>
    <xf numFmtId="0" fontId="10" fillId="0" borderId="28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shrinkToFit="1"/>
    </xf>
    <xf numFmtId="10" fontId="10" fillId="0" borderId="1" xfId="2" applyNumberFormat="1" applyFont="1" applyBorder="1" applyAlignment="1">
      <alignment horizontal="right" vertical="center" shrinkToFit="1"/>
    </xf>
    <xf numFmtId="181" fontId="10" fillId="0" borderId="16" xfId="0" applyNumberFormat="1" applyFont="1" applyBorder="1" applyAlignment="1">
      <alignment horizontal="right" vertical="center" shrinkToFit="1"/>
    </xf>
    <xf numFmtId="182" fontId="10" fillId="0" borderId="31" xfId="0" applyNumberFormat="1" applyFont="1" applyFill="1" applyBorder="1" applyAlignment="1">
      <alignment vertical="center" shrinkToFit="1"/>
    </xf>
    <xf numFmtId="9" fontId="10" fillId="0" borderId="17" xfId="2" applyFont="1" applyFill="1" applyBorder="1" applyAlignment="1">
      <alignment horizontal="center" vertical="center" shrinkToFit="1"/>
    </xf>
    <xf numFmtId="0" fontId="10" fillId="0" borderId="5" xfId="0" applyFont="1" applyBorder="1" applyAlignment="1">
      <alignment vertical="center" shrinkToFit="1"/>
    </xf>
    <xf numFmtId="41" fontId="10" fillId="0" borderId="13" xfId="0" applyNumberFormat="1" applyFont="1" applyBorder="1" applyAlignment="1">
      <alignment horizontal="right" vertical="center" shrinkToFit="1"/>
    </xf>
    <xf numFmtId="41" fontId="10" fillId="0" borderId="20" xfId="0" applyNumberFormat="1" applyFont="1" applyBorder="1" applyAlignment="1">
      <alignment horizontal="left" vertical="center" shrinkToFit="1"/>
    </xf>
    <xf numFmtId="10" fontId="10" fillId="0" borderId="5" xfId="2" applyNumberFormat="1" applyFont="1" applyBorder="1" applyAlignment="1">
      <alignment horizontal="right" vertical="center" shrinkToFit="1"/>
    </xf>
    <xf numFmtId="10" fontId="10" fillId="0" borderId="9" xfId="2" applyNumberFormat="1" applyFont="1" applyBorder="1" applyAlignment="1">
      <alignment horizontal="right" vertical="center" shrinkToFit="1"/>
    </xf>
    <xf numFmtId="181" fontId="10" fillId="0" borderId="21" xfId="0" applyNumberFormat="1" applyFont="1" applyBorder="1" applyAlignment="1">
      <alignment horizontal="right" vertical="center" shrinkToFit="1"/>
    </xf>
    <xf numFmtId="182" fontId="10" fillId="0" borderId="32" xfId="0" applyNumberFormat="1" applyFont="1" applyFill="1" applyBorder="1" applyAlignment="1">
      <alignment vertical="center" shrinkToFit="1"/>
    </xf>
    <xf numFmtId="9" fontId="10" fillId="0" borderId="22" xfId="2" applyFont="1" applyFill="1" applyBorder="1" applyAlignment="1">
      <alignment horizontal="center" vertical="center" shrinkToFit="1"/>
    </xf>
    <xf numFmtId="181" fontId="10" fillId="0" borderId="8" xfId="0" applyNumberFormat="1" applyFont="1" applyBorder="1" applyAlignment="1">
      <alignment horizontal="right" vertical="center" shrinkToFit="1"/>
    </xf>
    <xf numFmtId="41" fontId="10" fillId="0" borderId="34" xfId="0" applyNumberFormat="1" applyFont="1" applyFill="1" applyBorder="1" applyAlignment="1">
      <alignment horizontal="right" vertical="center" shrinkToFit="1"/>
    </xf>
    <xf numFmtId="41" fontId="10" fillId="0" borderId="29" xfId="0" applyNumberFormat="1" applyFont="1" applyFill="1" applyBorder="1" applyAlignment="1">
      <alignment horizontal="center" vertical="center" shrinkToFit="1"/>
    </xf>
    <xf numFmtId="0" fontId="3" fillId="0" borderId="0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10" fillId="0" borderId="0" xfId="0" applyFont="1" applyFill="1" applyBorder="1">
      <alignment vertical="center"/>
    </xf>
    <xf numFmtId="41" fontId="0" fillId="0" borderId="0" xfId="0" applyNumberFormat="1" applyBorder="1" applyAlignment="1">
      <alignment horizontal="right" vertical="center" shrinkToFit="1"/>
    </xf>
    <xf numFmtId="41" fontId="0" fillId="0" borderId="0" xfId="0" applyNumberFormat="1" applyBorder="1" applyAlignment="1">
      <alignment horizontal="left" vertical="center" shrinkToFit="1"/>
    </xf>
    <xf numFmtId="10" fontId="0" fillId="0" borderId="0" xfId="2" applyNumberFormat="1" applyFont="1" applyBorder="1" applyAlignment="1">
      <alignment horizontal="right" vertical="center" shrinkToFit="1"/>
    </xf>
    <xf numFmtId="181" fontId="0" fillId="0" borderId="0" xfId="0" applyNumberFormat="1" applyBorder="1" applyAlignment="1">
      <alignment horizontal="right" vertical="center" shrinkToFit="1"/>
    </xf>
    <xf numFmtId="182" fontId="0" fillId="0" borderId="0" xfId="0" applyNumberFormat="1" applyBorder="1" applyAlignment="1">
      <alignment vertical="center" shrinkToFit="1"/>
    </xf>
    <xf numFmtId="9" fontId="0" fillId="0" borderId="0" xfId="2" applyFont="1" applyBorder="1" applyAlignment="1">
      <alignment horizontal="right" vertical="center" shrinkToFit="1"/>
    </xf>
    <xf numFmtId="180" fontId="0" fillId="0" borderId="1" xfId="1" applyNumberFormat="1" applyFont="1" applyFill="1" applyBorder="1">
      <alignment vertical="center"/>
    </xf>
    <xf numFmtId="180" fontId="0" fillId="0" borderId="14" xfId="1" applyNumberFormat="1" applyFont="1" applyFill="1" applyBorder="1">
      <alignment vertical="center"/>
    </xf>
    <xf numFmtId="38" fontId="0" fillId="0" borderId="15" xfId="1" applyFont="1" applyBorder="1">
      <alignment vertical="center"/>
    </xf>
    <xf numFmtId="40" fontId="0" fillId="0" borderId="2" xfId="1" applyNumberFormat="1" applyFont="1" applyBorder="1">
      <alignment vertical="center"/>
    </xf>
    <xf numFmtId="40" fontId="0" fillId="0" borderId="2" xfId="1" applyNumberFormat="1" applyFont="1" applyFill="1" applyBorder="1">
      <alignment vertical="center"/>
    </xf>
    <xf numFmtId="38" fontId="13" fillId="0" borderId="1" xfId="1" applyNumberFormat="1" applyFont="1" applyBorder="1">
      <alignment vertical="center"/>
    </xf>
    <xf numFmtId="38" fontId="8" fillId="8" borderId="1" xfId="1" applyNumberFormat="1" applyFont="1" applyFill="1" applyBorder="1">
      <alignment vertical="center"/>
    </xf>
    <xf numFmtId="38" fontId="8" fillId="0" borderId="1" xfId="1" applyNumberFormat="1" applyFont="1" applyBorder="1">
      <alignment vertical="center"/>
    </xf>
    <xf numFmtId="38" fontId="0" fillId="8" borderId="1" xfId="1" applyNumberFormat="1" applyFont="1" applyFill="1" applyBorder="1">
      <alignment vertical="center"/>
    </xf>
    <xf numFmtId="38" fontId="6" fillId="0" borderId="1" xfId="1" applyNumberFormat="1" applyFont="1" applyBorder="1">
      <alignment vertical="center"/>
    </xf>
    <xf numFmtId="38" fontId="6" fillId="8" borderId="1" xfId="1" applyNumberFormat="1" applyFont="1" applyFill="1" applyBorder="1">
      <alignment vertical="center"/>
    </xf>
    <xf numFmtId="38" fontId="18" fillId="0" borderId="1" xfId="0" applyNumberFormat="1" applyFont="1" applyBorder="1">
      <alignment vertical="center"/>
    </xf>
    <xf numFmtId="176" fontId="0" fillId="8" borderId="1" xfId="0" applyNumberFormat="1" applyFill="1" applyBorder="1">
      <alignment vertical="center"/>
    </xf>
    <xf numFmtId="38" fontId="0" fillId="7" borderId="2" xfId="1" applyFont="1" applyFill="1" applyBorder="1">
      <alignment vertical="center"/>
    </xf>
    <xf numFmtId="38" fontId="8" fillId="7" borderId="2" xfId="1" applyFont="1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5" xfId="0" applyBorder="1" applyAlignment="1">
      <alignment horizontal="right" vertical="center"/>
    </xf>
    <xf numFmtId="38" fontId="0" fillId="0" borderId="2" xfId="1" applyFont="1" applyFill="1" applyBorder="1">
      <alignment vertical="center"/>
    </xf>
    <xf numFmtId="177" fontId="0" fillId="7" borderId="1" xfId="1" applyNumberFormat="1" applyFont="1" applyFill="1" applyBorder="1">
      <alignment vertical="center"/>
    </xf>
    <xf numFmtId="177" fontId="0" fillId="2" borderId="1" xfId="1" applyNumberFormat="1" applyFont="1" applyFill="1" applyBorder="1">
      <alignment vertical="center"/>
    </xf>
    <xf numFmtId="0" fontId="0" fillId="0" borderId="1" xfId="0" applyBorder="1" applyAlignment="1">
      <alignment horizontal="center" vertical="center" shrinkToFit="1"/>
    </xf>
    <xf numFmtId="177" fontId="9" fillId="0" borderId="1" xfId="1" applyNumberFormat="1" applyFont="1" applyBorder="1" applyAlignment="1">
      <alignment vertical="center" shrinkToFit="1"/>
    </xf>
    <xf numFmtId="183" fontId="0" fillId="0" borderId="1" xfId="0" applyNumberFormat="1" applyBorder="1">
      <alignment vertical="center"/>
    </xf>
    <xf numFmtId="0" fontId="4" fillId="0" borderId="0" xfId="0" applyFont="1">
      <alignment vertical="center"/>
    </xf>
    <xf numFmtId="0" fontId="3" fillId="0" borderId="1" xfId="0" applyFont="1" applyBorder="1">
      <alignment vertical="center"/>
    </xf>
    <xf numFmtId="0" fontId="4" fillId="0" borderId="0" xfId="0" applyFont="1" applyFill="1" applyBorder="1">
      <alignment vertical="center"/>
    </xf>
    <xf numFmtId="0" fontId="17" fillId="0" borderId="0" xfId="0" applyFont="1" applyBorder="1" applyAlignment="1">
      <alignment horizontal="center" vertical="center" wrapText="1"/>
    </xf>
    <xf numFmtId="1" fontId="0" fillId="8" borderId="1" xfId="0" applyNumberFormat="1" applyFill="1" applyBorder="1">
      <alignment vertical="center"/>
    </xf>
    <xf numFmtId="0" fontId="6" fillId="0" borderId="1" xfId="0" applyFont="1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8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5" fillId="0" borderId="26" xfId="0" applyFont="1" applyBorder="1" applyAlignment="1">
      <alignment horizontal="center" vertical="center" wrapText="1"/>
    </xf>
    <xf numFmtId="0" fontId="0" fillId="4" borderId="3" xfId="0" applyFill="1" applyBorder="1">
      <alignment vertical="center"/>
    </xf>
    <xf numFmtId="0" fontId="0" fillId="0" borderId="0" xfId="0" applyFill="1" applyBorder="1" applyAlignment="1">
      <alignment vertical="center" wrapText="1"/>
    </xf>
    <xf numFmtId="0" fontId="0" fillId="9" borderId="1" xfId="0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1" fontId="0" fillId="9" borderId="1" xfId="0" applyNumberFormat="1" applyFill="1" applyBorder="1">
      <alignment vertical="center"/>
    </xf>
    <xf numFmtId="38" fontId="0" fillId="0" borderId="0" xfId="1" applyFont="1" applyFill="1" applyBorder="1">
      <alignment vertical="center"/>
    </xf>
    <xf numFmtId="38" fontId="8" fillId="0" borderId="0" xfId="1" applyFont="1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2" fillId="0" borderId="35" xfId="3" applyBorder="1" applyAlignment="1">
      <alignment horizontal="center" vertical="center"/>
    </xf>
    <xf numFmtId="0" fontId="14" fillId="0" borderId="11" xfId="3" applyFont="1" applyBorder="1" applyAlignment="1">
      <alignment horizontal="center" vertical="center" shrinkToFit="1"/>
    </xf>
    <xf numFmtId="0" fontId="14" fillId="0" borderId="3" xfId="3" applyFont="1" applyBorder="1" applyAlignment="1">
      <alignment horizontal="center" vertical="center"/>
    </xf>
    <xf numFmtId="0" fontId="12" fillId="0" borderId="3" xfId="3" applyBorder="1" applyAlignment="1">
      <alignment horizontal="center" vertical="center"/>
    </xf>
    <xf numFmtId="0" fontId="12" fillId="0" borderId="0" xfId="3">
      <alignment vertical="center"/>
    </xf>
    <xf numFmtId="0" fontId="12" fillId="0" borderId="15" xfId="3" applyBorder="1" applyAlignment="1">
      <alignment horizontal="left" vertical="center" wrapText="1"/>
    </xf>
    <xf numFmtId="0" fontId="12" fillId="0" borderId="15" xfId="3" applyBorder="1" applyAlignment="1">
      <alignment horizontal="center" vertical="center" wrapText="1"/>
    </xf>
    <xf numFmtId="0" fontId="12" fillId="0" borderId="15" xfId="3" applyFill="1" applyBorder="1" applyAlignment="1">
      <alignment horizontal="center" vertical="center"/>
    </xf>
    <xf numFmtId="0" fontId="12" fillId="0" borderId="15" xfId="3" applyBorder="1">
      <alignment vertical="center"/>
    </xf>
    <xf numFmtId="0" fontId="12" fillId="0" borderId="15" xfId="3" applyFill="1" applyBorder="1">
      <alignment vertical="center"/>
    </xf>
    <xf numFmtId="0" fontId="24" fillId="0" borderId="15" xfId="3" applyFont="1" applyFill="1" applyBorder="1">
      <alignment vertical="center"/>
    </xf>
    <xf numFmtId="0" fontId="12" fillId="5" borderId="15" xfId="3" applyFill="1" applyBorder="1">
      <alignment vertical="center"/>
    </xf>
    <xf numFmtId="0" fontId="12" fillId="0" borderId="14" xfId="3" applyBorder="1" applyAlignment="1">
      <alignment vertical="center"/>
    </xf>
    <xf numFmtId="0" fontId="12" fillId="0" borderId="14" xfId="3" applyBorder="1" applyAlignment="1">
      <alignment horizontal="center" vertical="center"/>
    </xf>
    <xf numFmtId="0" fontId="12" fillId="0" borderId="1" xfId="3" applyFill="1" applyBorder="1" applyAlignment="1">
      <alignment horizontal="center" vertical="center"/>
    </xf>
    <xf numFmtId="0" fontId="24" fillId="0" borderId="1" xfId="3" applyFont="1" applyFill="1" applyBorder="1" applyAlignment="1">
      <alignment horizontal="center" vertical="center"/>
    </xf>
    <xf numFmtId="0" fontId="12" fillId="0" borderId="1" xfId="3" applyFill="1" applyBorder="1">
      <alignment vertical="center"/>
    </xf>
    <xf numFmtId="0" fontId="12" fillId="5" borderId="1" xfId="3" applyFill="1" applyBorder="1">
      <alignment vertical="center"/>
    </xf>
    <xf numFmtId="0" fontId="12" fillId="0" borderId="1" xfId="3" applyBorder="1">
      <alignment vertical="center"/>
    </xf>
    <xf numFmtId="0" fontId="0" fillId="0" borderId="0" xfId="0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38" fontId="25" fillId="7" borderId="1" xfId="1" applyFont="1" applyFill="1" applyBorder="1">
      <alignment vertical="center"/>
    </xf>
    <xf numFmtId="38" fontId="25" fillId="2" borderId="1" xfId="1" applyFont="1" applyFill="1" applyBorder="1">
      <alignment vertical="center"/>
    </xf>
    <xf numFmtId="0" fontId="0" fillId="0" borderId="7" xfId="0" applyBorder="1" applyAlignment="1">
      <alignment horizontal="center" vertical="center" shrinkToFit="1"/>
    </xf>
    <xf numFmtId="38" fontId="6" fillId="8" borderId="1" xfId="1" applyFont="1" applyFill="1" applyBorder="1">
      <alignment vertical="center"/>
    </xf>
    <xf numFmtId="38" fontId="0" fillId="8" borderId="1" xfId="1" applyFont="1" applyFill="1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9" borderId="3" xfId="0" applyFont="1" applyFill="1" applyBorder="1" applyAlignment="1">
      <alignment horizontal="center" vertical="center" wrapText="1"/>
    </xf>
    <xf numFmtId="0" fontId="12" fillId="9" borderId="4" xfId="0" applyFont="1" applyFill="1" applyBorder="1" applyAlignment="1">
      <alignment horizontal="center" vertical="center"/>
    </xf>
    <xf numFmtId="0" fontId="12" fillId="9" borderId="2" xfId="0" applyFont="1" applyFill="1" applyBorder="1" applyAlignment="1">
      <alignment horizontal="center" vertical="center"/>
    </xf>
    <xf numFmtId="0" fontId="0" fillId="0" borderId="11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0" fillId="7" borderId="14" xfId="0" applyFill="1" applyBorder="1" applyAlignment="1">
      <alignment horizontal="center" vertical="center"/>
    </xf>
    <xf numFmtId="0" fontId="0" fillId="7" borderId="17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38" fontId="0" fillId="0" borderId="14" xfId="1" applyFont="1" applyFill="1" applyBorder="1" applyAlignment="1">
      <alignment horizontal="center" vertical="center"/>
    </xf>
    <xf numFmtId="38" fontId="0" fillId="0" borderId="16" xfId="1" applyFont="1" applyFill="1" applyBorder="1" applyAlignment="1">
      <alignment horizontal="center" vertical="center"/>
    </xf>
    <xf numFmtId="38" fontId="0" fillId="0" borderId="17" xfId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38" fontId="8" fillId="6" borderId="14" xfId="0" applyNumberFormat="1" applyFont="1" applyFill="1" applyBorder="1" applyAlignment="1">
      <alignment horizontal="center" vertical="center"/>
    </xf>
    <xf numFmtId="38" fontId="6" fillId="6" borderId="16" xfId="0" applyNumberFormat="1" applyFont="1" applyFill="1" applyBorder="1" applyAlignment="1">
      <alignment horizontal="center" vertical="center"/>
    </xf>
    <xf numFmtId="38" fontId="6" fillId="6" borderId="17" xfId="0" applyNumberFormat="1" applyFont="1" applyFill="1" applyBorder="1" applyAlignment="1">
      <alignment horizontal="center" vertical="center"/>
    </xf>
    <xf numFmtId="2" fontId="8" fillId="6" borderId="14" xfId="0" applyNumberFormat="1" applyFont="1" applyFill="1" applyBorder="1" applyAlignment="1">
      <alignment horizontal="center" vertical="center"/>
    </xf>
    <xf numFmtId="2" fontId="6" fillId="6" borderId="16" xfId="0" applyNumberFormat="1" applyFont="1" applyFill="1" applyBorder="1" applyAlignment="1">
      <alignment horizontal="center" vertical="center"/>
    </xf>
    <xf numFmtId="2" fontId="6" fillId="6" borderId="17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0" fillId="7" borderId="19" xfId="0" applyFill="1" applyBorder="1" applyAlignment="1">
      <alignment horizontal="center" vertical="center"/>
    </xf>
    <xf numFmtId="0" fontId="0" fillId="7" borderId="30" xfId="0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7" borderId="18" xfId="0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0" fillId="0" borderId="23" xfId="0" applyFont="1" applyBorder="1" applyAlignment="1">
      <alignment horizontal="center" vertical="center" shrinkToFit="1"/>
    </xf>
    <xf numFmtId="0" fontId="10" fillId="0" borderId="33" xfId="0" applyFont="1" applyBorder="1" applyAlignment="1">
      <alignment horizontal="center" vertical="center" shrinkToFit="1"/>
    </xf>
    <xf numFmtId="0" fontId="10" fillId="0" borderId="24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41" fontId="10" fillId="0" borderId="14" xfId="0" applyNumberFormat="1" applyFont="1" applyBorder="1" applyAlignment="1">
      <alignment horizontal="center" vertical="center" shrinkToFit="1"/>
    </xf>
    <xf numFmtId="41" fontId="10" fillId="0" borderId="17" xfId="0" applyNumberFormat="1" applyFont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 wrapText="1"/>
    </xf>
  </cellXfs>
  <cellStyles count="4">
    <cellStyle name="パーセント" xfId="2" builtinId="5"/>
    <cellStyle name="桁区切り" xfId="1" builtinId="6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65253056935106"/>
          <c:y val="4.3539713236290987E-2"/>
          <c:w val="0.86481550394910767"/>
          <c:h val="0.76805052335292856"/>
        </c:manualLayout>
      </c:layout>
      <c:lineChart>
        <c:grouping val="standard"/>
        <c:varyColors val="0"/>
        <c:ser>
          <c:idx val="0"/>
          <c:order val="0"/>
          <c:tx>
            <c:strRef>
              <c:f>行政人口の見通し!$D$4</c:f>
              <c:strCache>
                <c:ptCount val="1"/>
                <c:pt idx="0">
                  <c:v>行政人口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行政人口の見通し!$E$2:$AC$2</c:f>
              <c:strCache>
                <c:ptCount val="25"/>
                <c:pt idx="0">
                  <c:v>1（現在）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strCache>
            </c:strRef>
          </c:cat>
          <c:val>
            <c:numRef>
              <c:f>行政人口の見通し!$E$4:$AC$4</c:f>
              <c:numCache>
                <c:formatCode>#,##0_);[Red]\(#,##0\)</c:formatCode>
                <c:ptCount val="25"/>
                <c:pt idx="0">
                  <c:v>15500</c:v>
                </c:pt>
                <c:pt idx="1">
                  <c:v>15448.333333333334</c:v>
                </c:pt>
                <c:pt idx="2">
                  <c:v>15386.333333333334</c:v>
                </c:pt>
                <c:pt idx="3">
                  <c:v>15314</c:v>
                </c:pt>
                <c:pt idx="4">
                  <c:v>15231.333333333334</c:v>
                </c:pt>
                <c:pt idx="5">
                  <c:v>15138.333333333334</c:v>
                </c:pt>
                <c:pt idx="6">
                  <c:v>15035</c:v>
                </c:pt>
                <c:pt idx="7">
                  <c:v>14921.333333333334</c:v>
                </c:pt>
                <c:pt idx="8">
                  <c:v>14797.333333333334</c:v>
                </c:pt>
                <c:pt idx="9">
                  <c:v>14663</c:v>
                </c:pt>
                <c:pt idx="10">
                  <c:v>14518.333333333334</c:v>
                </c:pt>
                <c:pt idx="11">
                  <c:v>14363.333333333334</c:v>
                </c:pt>
                <c:pt idx="12">
                  <c:v>14198</c:v>
                </c:pt>
                <c:pt idx="13">
                  <c:v>14022.333333333334</c:v>
                </c:pt>
                <c:pt idx="14">
                  <c:v>13836.333333333334</c:v>
                </c:pt>
                <c:pt idx="15">
                  <c:v>13640</c:v>
                </c:pt>
                <c:pt idx="16">
                  <c:v>13433.333333333334</c:v>
                </c:pt>
                <c:pt idx="17">
                  <c:v>13216.333333333334</c:v>
                </c:pt>
                <c:pt idx="18">
                  <c:v>12989</c:v>
                </c:pt>
                <c:pt idx="19">
                  <c:v>12751.333333333334</c:v>
                </c:pt>
                <c:pt idx="20">
                  <c:v>12503.333333333334</c:v>
                </c:pt>
                <c:pt idx="21">
                  <c:v>12245</c:v>
                </c:pt>
                <c:pt idx="22">
                  <c:v>11976.333333333334</c:v>
                </c:pt>
                <c:pt idx="23">
                  <c:v>11697.333333333334</c:v>
                </c:pt>
                <c:pt idx="24">
                  <c:v>11408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A0-4C1A-ADC9-382C29C254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273589920"/>
        <c:axId val="273591096"/>
      </c:lineChart>
      <c:catAx>
        <c:axId val="2735899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年度</a:t>
                </a:r>
                <a:r>
                  <a:rPr lang="ja-JP" altLang="en-US"/>
                  <a:t>（年）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45418081819640299"/>
              <c:y val="0.919319054793313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73591096"/>
        <c:crosses val="autoZero"/>
        <c:auto val="1"/>
        <c:lblAlgn val="ctr"/>
        <c:lblOffset val="100"/>
        <c:noMultiLvlLbl val="0"/>
      </c:catAx>
      <c:valAx>
        <c:axId val="273591096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行政人口（人）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73589920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62762987557413"/>
          <c:y val="0.13425925925925927"/>
          <c:w val="0.78076640715163126"/>
          <c:h val="0.68484543598716829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将来フレーム!$B$10</c:f>
              <c:strCache>
                <c:ptCount val="1"/>
                <c:pt idx="0">
                  <c:v>A下水処理場稼働率（％）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将来フレーム!$C$2:$AA$2</c:f>
              <c:strCache>
                <c:ptCount val="25"/>
                <c:pt idx="0">
                  <c:v>1（現在）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strCache>
            </c:strRef>
          </c:cat>
          <c:val>
            <c:numRef>
              <c:f>将来フレーム!$C$10:$AA$10</c:f>
              <c:numCache>
                <c:formatCode>0%</c:formatCode>
                <c:ptCount val="25"/>
                <c:pt idx="0">
                  <c:v>0.45111111111111113</c:v>
                </c:pt>
                <c:pt idx="1">
                  <c:v>0.44959666666666664</c:v>
                </c:pt>
                <c:pt idx="2">
                  <c:v>0.44779222222222226</c:v>
                </c:pt>
                <c:pt idx="3">
                  <c:v>0.4456977777777778</c:v>
                </c:pt>
                <c:pt idx="4">
                  <c:v>0.44328111111111113</c:v>
                </c:pt>
                <c:pt idx="5">
                  <c:v>0.44057444444444444</c:v>
                </c:pt>
                <c:pt idx="6">
                  <c:v>0.43757777777777773</c:v>
                </c:pt>
                <c:pt idx="7">
                  <c:v>0.43425888888888886</c:v>
                </c:pt>
                <c:pt idx="8">
                  <c:v>0.43064999999999998</c:v>
                </c:pt>
                <c:pt idx="9">
                  <c:v>0.42675111111111114</c:v>
                </c:pt>
                <c:pt idx="10">
                  <c:v>0.42253000000000002</c:v>
                </c:pt>
                <c:pt idx="11">
                  <c:v>0.41801888888888888</c:v>
                </c:pt>
                <c:pt idx="12">
                  <c:v>0.41321777777777779</c:v>
                </c:pt>
                <c:pt idx="13">
                  <c:v>0.40809444444444443</c:v>
                </c:pt>
                <c:pt idx="14">
                  <c:v>0.4026811111111111</c:v>
                </c:pt>
                <c:pt idx="15">
                  <c:v>0.39697777777777782</c:v>
                </c:pt>
                <c:pt idx="16">
                  <c:v>0.39095222222222226</c:v>
                </c:pt>
                <c:pt idx="17">
                  <c:v>0.38463666666666668</c:v>
                </c:pt>
                <c:pt idx="18">
                  <c:v>0.37803111111111115</c:v>
                </c:pt>
                <c:pt idx="19">
                  <c:v>0.37110333333333334</c:v>
                </c:pt>
                <c:pt idx="20">
                  <c:v>0.36388555555555552</c:v>
                </c:pt>
                <c:pt idx="21">
                  <c:v>0.35637777777777779</c:v>
                </c:pt>
                <c:pt idx="22">
                  <c:v>0.34854777777777773</c:v>
                </c:pt>
                <c:pt idx="23">
                  <c:v>0.34042777777777777</c:v>
                </c:pt>
                <c:pt idx="24">
                  <c:v>0.33201777777777775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0C-4B55-851E-665AD212AF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73593056"/>
        <c:axId val="273592664"/>
      </c:barChart>
      <c:lineChart>
        <c:grouping val="standard"/>
        <c:varyColors val="0"/>
        <c:ser>
          <c:idx val="0"/>
          <c:order val="0"/>
          <c:tx>
            <c:strRef>
              <c:f>将来フレーム!$B$4</c:f>
              <c:strCache>
                <c:ptCount val="1"/>
                <c:pt idx="0">
                  <c:v>A処理区内人口（人）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将来フレーム!$C$2:$AA$2</c:f>
              <c:strCache>
                <c:ptCount val="25"/>
                <c:pt idx="0">
                  <c:v>1（現在）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strCache>
            </c:strRef>
          </c:cat>
          <c:val>
            <c:numRef>
              <c:f>将来フレーム!$C$4:$AA$4</c:f>
              <c:numCache>
                <c:formatCode>#,##0_);[Red]\(#,##0\)</c:formatCode>
                <c:ptCount val="25"/>
                <c:pt idx="0">
                  <c:v>14000</c:v>
                </c:pt>
                <c:pt idx="1">
                  <c:v>13953</c:v>
                </c:pt>
                <c:pt idx="2">
                  <c:v>13897</c:v>
                </c:pt>
                <c:pt idx="3">
                  <c:v>13832</c:v>
                </c:pt>
                <c:pt idx="4">
                  <c:v>13757</c:v>
                </c:pt>
                <c:pt idx="5">
                  <c:v>13673</c:v>
                </c:pt>
                <c:pt idx="6">
                  <c:v>13580</c:v>
                </c:pt>
                <c:pt idx="7">
                  <c:v>13477</c:v>
                </c:pt>
                <c:pt idx="8">
                  <c:v>13365</c:v>
                </c:pt>
                <c:pt idx="9">
                  <c:v>13244</c:v>
                </c:pt>
                <c:pt idx="10">
                  <c:v>13113</c:v>
                </c:pt>
                <c:pt idx="11">
                  <c:v>12973</c:v>
                </c:pt>
                <c:pt idx="12">
                  <c:v>12824</c:v>
                </c:pt>
                <c:pt idx="13">
                  <c:v>12665</c:v>
                </c:pt>
                <c:pt idx="14">
                  <c:v>12497</c:v>
                </c:pt>
                <c:pt idx="15">
                  <c:v>12320</c:v>
                </c:pt>
                <c:pt idx="16">
                  <c:v>12133</c:v>
                </c:pt>
                <c:pt idx="17">
                  <c:v>11937</c:v>
                </c:pt>
                <c:pt idx="18">
                  <c:v>11732</c:v>
                </c:pt>
                <c:pt idx="19">
                  <c:v>11517</c:v>
                </c:pt>
                <c:pt idx="20">
                  <c:v>11293</c:v>
                </c:pt>
                <c:pt idx="21">
                  <c:v>11060</c:v>
                </c:pt>
                <c:pt idx="22">
                  <c:v>10817</c:v>
                </c:pt>
                <c:pt idx="23">
                  <c:v>10565</c:v>
                </c:pt>
                <c:pt idx="24">
                  <c:v>10304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0C-4B55-851E-665AD212AFCD}"/>
            </c:ext>
          </c:extLst>
        </c:ser>
        <c:ser>
          <c:idx val="1"/>
          <c:order val="1"/>
          <c:tx>
            <c:strRef>
              <c:f>将来フレーム!$B$6</c:f>
              <c:strCache>
                <c:ptCount val="1"/>
                <c:pt idx="0">
                  <c:v>A処理区（日平均）（m3/日）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将来フレーム!$C$2:$AA$2</c:f>
              <c:strCache>
                <c:ptCount val="25"/>
                <c:pt idx="0">
                  <c:v>1（現在）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strCache>
            </c:strRef>
          </c:cat>
          <c:val>
            <c:numRef>
              <c:f>将来フレーム!$C$6:$AA$6</c:f>
              <c:numCache>
                <c:formatCode>#,##0_);[Red]\(#,##0\)</c:formatCode>
                <c:ptCount val="25"/>
                <c:pt idx="0">
                  <c:v>4060</c:v>
                </c:pt>
                <c:pt idx="1">
                  <c:v>4046.37</c:v>
                </c:pt>
                <c:pt idx="2">
                  <c:v>4030.13</c:v>
                </c:pt>
                <c:pt idx="3">
                  <c:v>4011.28</c:v>
                </c:pt>
                <c:pt idx="4">
                  <c:v>3989.53</c:v>
                </c:pt>
                <c:pt idx="5">
                  <c:v>3965.17</c:v>
                </c:pt>
                <c:pt idx="6">
                  <c:v>3938.2</c:v>
                </c:pt>
                <c:pt idx="7">
                  <c:v>3908.33</c:v>
                </c:pt>
                <c:pt idx="8">
                  <c:v>3875.85</c:v>
                </c:pt>
                <c:pt idx="9">
                  <c:v>3840.76</c:v>
                </c:pt>
                <c:pt idx="10">
                  <c:v>3802.77</c:v>
                </c:pt>
                <c:pt idx="11">
                  <c:v>3762.17</c:v>
                </c:pt>
                <c:pt idx="12">
                  <c:v>3718.96</c:v>
                </c:pt>
                <c:pt idx="13">
                  <c:v>3672.85</c:v>
                </c:pt>
                <c:pt idx="14">
                  <c:v>3624.13</c:v>
                </c:pt>
                <c:pt idx="15">
                  <c:v>3572.8</c:v>
                </c:pt>
                <c:pt idx="16">
                  <c:v>3518.57</c:v>
                </c:pt>
                <c:pt idx="17">
                  <c:v>3461.73</c:v>
                </c:pt>
                <c:pt idx="18">
                  <c:v>3402.28</c:v>
                </c:pt>
                <c:pt idx="19">
                  <c:v>3339.93</c:v>
                </c:pt>
                <c:pt idx="20">
                  <c:v>3274.97</c:v>
                </c:pt>
                <c:pt idx="21">
                  <c:v>3207.4</c:v>
                </c:pt>
                <c:pt idx="22">
                  <c:v>3136.93</c:v>
                </c:pt>
                <c:pt idx="23">
                  <c:v>3063.85</c:v>
                </c:pt>
                <c:pt idx="24">
                  <c:v>2988.16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0C-4B55-851E-665AD212AFCD}"/>
            </c:ext>
          </c:extLst>
        </c:ser>
        <c:ser>
          <c:idx val="3"/>
          <c:order val="3"/>
          <c:tx>
            <c:strRef>
              <c:f>将来フレーム!$B$7</c:f>
              <c:strCache>
                <c:ptCount val="1"/>
                <c:pt idx="0">
                  <c:v>A処理区（日最大）（m3/日）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将来フレーム!$C$7:$AA$7</c:f>
              <c:numCache>
                <c:formatCode>#,##0_);[Red]\(#,##0\)</c:formatCode>
                <c:ptCount val="25"/>
                <c:pt idx="0">
                  <c:v>5800</c:v>
                </c:pt>
                <c:pt idx="1">
                  <c:v>5780.5285714285719</c:v>
                </c:pt>
                <c:pt idx="2">
                  <c:v>5757.3285714285721</c:v>
                </c:pt>
                <c:pt idx="3">
                  <c:v>5730.4000000000005</c:v>
                </c:pt>
                <c:pt idx="4">
                  <c:v>5699.3285714285721</c:v>
                </c:pt>
                <c:pt idx="5">
                  <c:v>5664.5285714285719</c:v>
                </c:pt>
                <c:pt idx="6">
                  <c:v>5626</c:v>
                </c:pt>
                <c:pt idx="7">
                  <c:v>5583.3285714285721</c:v>
                </c:pt>
                <c:pt idx="8">
                  <c:v>5536.9285714285716</c:v>
                </c:pt>
                <c:pt idx="9">
                  <c:v>5486.8000000000011</c:v>
                </c:pt>
                <c:pt idx="10">
                  <c:v>5432.5285714285719</c:v>
                </c:pt>
                <c:pt idx="11">
                  <c:v>5374.5285714285719</c:v>
                </c:pt>
                <c:pt idx="12">
                  <c:v>5312.8</c:v>
                </c:pt>
                <c:pt idx="13">
                  <c:v>5246.9285714285716</c:v>
                </c:pt>
                <c:pt idx="14">
                  <c:v>5177.3285714285721</c:v>
                </c:pt>
                <c:pt idx="15">
                  <c:v>5104.0000000000009</c:v>
                </c:pt>
                <c:pt idx="16">
                  <c:v>5026.5285714285719</c:v>
                </c:pt>
                <c:pt idx="17">
                  <c:v>4945.3285714285721</c:v>
                </c:pt>
                <c:pt idx="18">
                  <c:v>4860.4000000000005</c:v>
                </c:pt>
                <c:pt idx="19">
                  <c:v>4771.3285714285712</c:v>
                </c:pt>
                <c:pt idx="20">
                  <c:v>4678.528571428571</c:v>
                </c:pt>
                <c:pt idx="21">
                  <c:v>4582</c:v>
                </c:pt>
                <c:pt idx="22">
                  <c:v>4481.3285714285712</c:v>
                </c:pt>
                <c:pt idx="23">
                  <c:v>4376.9285714285716</c:v>
                </c:pt>
                <c:pt idx="24">
                  <c:v>4268.8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A0C-4B55-851E-665AD212AF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591880"/>
        <c:axId val="273592272"/>
      </c:lineChart>
      <c:catAx>
        <c:axId val="2735918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年度（年）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73592272"/>
        <c:crosses val="autoZero"/>
        <c:auto val="1"/>
        <c:lblAlgn val="ctr"/>
        <c:lblOffset val="100"/>
        <c:noMultiLvlLbl val="0"/>
      </c:catAx>
      <c:valAx>
        <c:axId val="273592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人口（人）もしくは処理水量（</a:t>
                </a:r>
                <a:r>
                  <a:rPr lang="en-US" altLang="ja-JP"/>
                  <a:t>m3/</a:t>
                </a:r>
                <a:r>
                  <a:rPr lang="ja-JP" altLang="en-US"/>
                  <a:t>日）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73591880"/>
        <c:crosses val="autoZero"/>
        <c:crossBetween val="between"/>
      </c:valAx>
      <c:valAx>
        <c:axId val="27359266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稼働率（％）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73593056"/>
        <c:crosses val="max"/>
        <c:crossBetween val="between"/>
      </c:valAx>
      <c:catAx>
        <c:axId val="2735930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735926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683421481862506"/>
          <c:y val="2.3726305045202681E-2"/>
          <c:w val="0.52842565295451815"/>
          <c:h val="0.149306649168853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62762987557413"/>
          <c:y val="0.13425925925925927"/>
          <c:w val="0.78076640715163126"/>
          <c:h val="0.68484543598716829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将来フレーム!$B$11</c:f>
              <c:strCache>
                <c:ptCount val="1"/>
                <c:pt idx="0">
                  <c:v>農業集落排水施設稼働率（％）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将来フレーム!$C$2:$AA$2</c:f>
              <c:strCache>
                <c:ptCount val="25"/>
                <c:pt idx="0">
                  <c:v>1（現在）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strCache>
            </c:strRef>
          </c:cat>
          <c:val>
            <c:numRef>
              <c:f>将来フレーム!$C$11:$AA$11</c:f>
              <c:numCache>
                <c:formatCode>0%</c:formatCode>
                <c:ptCount val="25"/>
                <c:pt idx="0">
                  <c:v>0.50624999999999998</c:v>
                </c:pt>
                <c:pt idx="1">
                  <c:v>0.50456250000000002</c:v>
                </c:pt>
                <c:pt idx="2">
                  <c:v>0.50253749999999997</c:v>
                </c:pt>
                <c:pt idx="3">
                  <c:v>0.50017500000000004</c:v>
                </c:pt>
                <c:pt idx="4">
                  <c:v>0.497475</c:v>
                </c:pt>
                <c:pt idx="5">
                  <c:v>0.49443750000000003</c:v>
                </c:pt>
                <c:pt idx="6">
                  <c:v>0.49106250000000001</c:v>
                </c:pt>
                <c:pt idx="7">
                  <c:v>0.48735000000000001</c:v>
                </c:pt>
                <c:pt idx="8">
                  <c:v>0.48330000000000001</c:v>
                </c:pt>
                <c:pt idx="9">
                  <c:v>0.47891250000000002</c:v>
                </c:pt>
                <c:pt idx="10">
                  <c:v>0.47418750000000004</c:v>
                </c:pt>
                <c:pt idx="11">
                  <c:v>0.46912500000000001</c:v>
                </c:pt>
                <c:pt idx="12">
                  <c:v>0.463725</c:v>
                </c:pt>
                <c:pt idx="13">
                  <c:v>0.45798749999999999</c:v>
                </c:pt>
                <c:pt idx="14">
                  <c:v>0.45191249999999994</c:v>
                </c:pt>
                <c:pt idx="15">
                  <c:v>0.44549999999999995</c:v>
                </c:pt>
                <c:pt idx="16">
                  <c:v>0.43874999999999997</c:v>
                </c:pt>
                <c:pt idx="17">
                  <c:v>0.4316625</c:v>
                </c:pt>
                <c:pt idx="18">
                  <c:v>0.42423749999999999</c:v>
                </c:pt>
                <c:pt idx="19">
                  <c:v>0.41647499999999998</c:v>
                </c:pt>
                <c:pt idx="20">
                  <c:v>0.40837499999999999</c:v>
                </c:pt>
                <c:pt idx="21">
                  <c:v>0.3999375</c:v>
                </c:pt>
                <c:pt idx="22">
                  <c:v>0.39116250000000002</c:v>
                </c:pt>
                <c:pt idx="23">
                  <c:v>0.38205</c:v>
                </c:pt>
                <c:pt idx="24">
                  <c:v>0.37259999999999999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B2-486B-A82A-2D9434EC5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73595016"/>
        <c:axId val="273594624"/>
      </c:barChart>
      <c:lineChart>
        <c:grouping val="standard"/>
        <c:varyColors val="0"/>
        <c:ser>
          <c:idx val="0"/>
          <c:order val="0"/>
          <c:tx>
            <c:strRef>
              <c:f>将来フレーム!$B$5</c:f>
              <c:strCache>
                <c:ptCount val="1"/>
                <c:pt idx="0">
                  <c:v>農業集落排水区域内人口（人）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将来フレーム!$C$2:$AA$2</c:f>
              <c:strCache>
                <c:ptCount val="25"/>
                <c:pt idx="0">
                  <c:v>1（現在）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strCache>
            </c:strRef>
          </c:cat>
          <c:val>
            <c:numRef>
              <c:f>将来フレーム!$C$5:$AA$5</c:f>
              <c:numCache>
                <c:formatCode>#,##0_);[Red]\(#,##0\)</c:formatCode>
                <c:ptCount val="25"/>
                <c:pt idx="0">
                  <c:v>1500</c:v>
                </c:pt>
                <c:pt idx="1">
                  <c:v>1495</c:v>
                </c:pt>
                <c:pt idx="2">
                  <c:v>1489</c:v>
                </c:pt>
                <c:pt idx="3">
                  <c:v>1482</c:v>
                </c:pt>
                <c:pt idx="4">
                  <c:v>1474</c:v>
                </c:pt>
                <c:pt idx="5">
                  <c:v>1465</c:v>
                </c:pt>
                <c:pt idx="6">
                  <c:v>1455</c:v>
                </c:pt>
                <c:pt idx="7">
                  <c:v>1444</c:v>
                </c:pt>
                <c:pt idx="8">
                  <c:v>1432</c:v>
                </c:pt>
                <c:pt idx="9">
                  <c:v>1419</c:v>
                </c:pt>
                <c:pt idx="10">
                  <c:v>1405</c:v>
                </c:pt>
                <c:pt idx="11">
                  <c:v>1390</c:v>
                </c:pt>
                <c:pt idx="12">
                  <c:v>1374</c:v>
                </c:pt>
                <c:pt idx="13">
                  <c:v>1357</c:v>
                </c:pt>
                <c:pt idx="14">
                  <c:v>1339</c:v>
                </c:pt>
                <c:pt idx="15">
                  <c:v>1320</c:v>
                </c:pt>
                <c:pt idx="16">
                  <c:v>1300</c:v>
                </c:pt>
                <c:pt idx="17">
                  <c:v>1279</c:v>
                </c:pt>
                <c:pt idx="18">
                  <c:v>1257</c:v>
                </c:pt>
                <c:pt idx="19">
                  <c:v>1234</c:v>
                </c:pt>
                <c:pt idx="20">
                  <c:v>1210</c:v>
                </c:pt>
                <c:pt idx="21">
                  <c:v>1185</c:v>
                </c:pt>
                <c:pt idx="22">
                  <c:v>1159</c:v>
                </c:pt>
                <c:pt idx="23">
                  <c:v>1132</c:v>
                </c:pt>
                <c:pt idx="24">
                  <c:v>1104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B2-486B-A82A-2D9434EC5CFF}"/>
            </c:ext>
          </c:extLst>
        </c:ser>
        <c:ser>
          <c:idx val="1"/>
          <c:order val="1"/>
          <c:tx>
            <c:strRef>
              <c:f>将来フレーム!$B$8</c:f>
              <c:strCache>
                <c:ptCount val="1"/>
                <c:pt idx="0">
                  <c:v>農業集落排水区（日平均）（m3/日）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将来フレーム!$C$2:$AA$2</c:f>
              <c:strCache>
                <c:ptCount val="25"/>
                <c:pt idx="0">
                  <c:v>1（現在）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strCache>
            </c:strRef>
          </c:cat>
          <c:val>
            <c:numRef>
              <c:f>将来フレーム!$C$8:$AA$8</c:f>
              <c:numCache>
                <c:formatCode>#,##0_);[Red]\(#,##0\)</c:formatCode>
                <c:ptCount val="25"/>
                <c:pt idx="0">
                  <c:v>405</c:v>
                </c:pt>
                <c:pt idx="1">
                  <c:v>403.65</c:v>
                </c:pt>
                <c:pt idx="2">
                  <c:v>402.03</c:v>
                </c:pt>
                <c:pt idx="3">
                  <c:v>400.14</c:v>
                </c:pt>
                <c:pt idx="4">
                  <c:v>397.98</c:v>
                </c:pt>
                <c:pt idx="5">
                  <c:v>395.55</c:v>
                </c:pt>
                <c:pt idx="6">
                  <c:v>392.85</c:v>
                </c:pt>
                <c:pt idx="7">
                  <c:v>389.88</c:v>
                </c:pt>
                <c:pt idx="8">
                  <c:v>386.64</c:v>
                </c:pt>
                <c:pt idx="9">
                  <c:v>383.13</c:v>
                </c:pt>
                <c:pt idx="10">
                  <c:v>379.35</c:v>
                </c:pt>
                <c:pt idx="11">
                  <c:v>375.3</c:v>
                </c:pt>
                <c:pt idx="12">
                  <c:v>370.98</c:v>
                </c:pt>
                <c:pt idx="13">
                  <c:v>366.39</c:v>
                </c:pt>
                <c:pt idx="14">
                  <c:v>361.53</c:v>
                </c:pt>
                <c:pt idx="15">
                  <c:v>356.4</c:v>
                </c:pt>
                <c:pt idx="16">
                  <c:v>351</c:v>
                </c:pt>
                <c:pt idx="17">
                  <c:v>345.33</c:v>
                </c:pt>
                <c:pt idx="18">
                  <c:v>339.39</c:v>
                </c:pt>
                <c:pt idx="19">
                  <c:v>333.18</c:v>
                </c:pt>
                <c:pt idx="20">
                  <c:v>326.7</c:v>
                </c:pt>
                <c:pt idx="21">
                  <c:v>319.95</c:v>
                </c:pt>
                <c:pt idx="22">
                  <c:v>312.93</c:v>
                </c:pt>
                <c:pt idx="23">
                  <c:v>305.64</c:v>
                </c:pt>
                <c:pt idx="24">
                  <c:v>298.08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B2-486B-A82A-2D9434EC5CFF}"/>
            </c:ext>
          </c:extLst>
        </c:ser>
        <c:ser>
          <c:idx val="3"/>
          <c:order val="3"/>
          <c:tx>
            <c:strRef>
              <c:f>将来フレーム!$B$9</c:f>
              <c:strCache>
                <c:ptCount val="1"/>
                <c:pt idx="0">
                  <c:v>農業集落排水区（日最大ベース）（m3/日）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将来フレーム!$C$9:$AA$9</c:f>
              <c:numCache>
                <c:formatCode>#,##0_);[Red]\(#,##0\)</c:formatCode>
                <c:ptCount val="25"/>
                <c:pt idx="0">
                  <c:v>578.57142857142856</c:v>
                </c:pt>
                <c:pt idx="1">
                  <c:v>576.64285714285711</c:v>
                </c:pt>
                <c:pt idx="2">
                  <c:v>574.32857142857142</c:v>
                </c:pt>
                <c:pt idx="3">
                  <c:v>571.62857142857149</c:v>
                </c:pt>
                <c:pt idx="4">
                  <c:v>568.5428571428572</c:v>
                </c:pt>
                <c:pt idx="5">
                  <c:v>565.07142857142867</c:v>
                </c:pt>
                <c:pt idx="6">
                  <c:v>561.21428571428578</c:v>
                </c:pt>
                <c:pt idx="7">
                  <c:v>556.97142857142865</c:v>
                </c:pt>
                <c:pt idx="8">
                  <c:v>552.34285714285716</c:v>
                </c:pt>
                <c:pt idx="9">
                  <c:v>547.32857142857142</c:v>
                </c:pt>
                <c:pt idx="10">
                  <c:v>541.92857142857144</c:v>
                </c:pt>
                <c:pt idx="11">
                  <c:v>536.14285714285722</c:v>
                </c:pt>
                <c:pt idx="12">
                  <c:v>529.97142857142865</c:v>
                </c:pt>
                <c:pt idx="13">
                  <c:v>523.41428571428571</c:v>
                </c:pt>
                <c:pt idx="14">
                  <c:v>516.47142857142853</c:v>
                </c:pt>
                <c:pt idx="15">
                  <c:v>509.14285714285717</c:v>
                </c:pt>
                <c:pt idx="16">
                  <c:v>501.42857142857144</c:v>
                </c:pt>
                <c:pt idx="17">
                  <c:v>493.32857142857142</c:v>
                </c:pt>
                <c:pt idx="18">
                  <c:v>484.84285714285716</c:v>
                </c:pt>
                <c:pt idx="19">
                  <c:v>475.97142857142859</c:v>
                </c:pt>
                <c:pt idx="20">
                  <c:v>466.71428571428572</c:v>
                </c:pt>
                <c:pt idx="21">
                  <c:v>457.07142857142861</c:v>
                </c:pt>
                <c:pt idx="22">
                  <c:v>447.0428571428572</c:v>
                </c:pt>
                <c:pt idx="23">
                  <c:v>436.62857142857143</c:v>
                </c:pt>
                <c:pt idx="24">
                  <c:v>425.82857142857142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B2-486B-A82A-2D9434EC5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593840"/>
        <c:axId val="273594232"/>
      </c:lineChart>
      <c:catAx>
        <c:axId val="2735938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年度（年）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73594232"/>
        <c:crosses val="autoZero"/>
        <c:auto val="1"/>
        <c:lblAlgn val="ctr"/>
        <c:lblOffset val="100"/>
        <c:noMultiLvlLbl val="0"/>
      </c:catAx>
      <c:valAx>
        <c:axId val="273594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人口（人）もしくは処理水量（</a:t>
                </a:r>
                <a:r>
                  <a:rPr lang="en-US" altLang="ja-JP"/>
                  <a:t>m3/</a:t>
                </a:r>
                <a:r>
                  <a:rPr lang="ja-JP" altLang="en-US"/>
                  <a:t>日）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73593840"/>
        <c:crosses val="autoZero"/>
        <c:crossBetween val="between"/>
      </c:valAx>
      <c:valAx>
        <c:axId val="27359462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稼働率（％）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73595016"/>
        <c:crosses val="max"/>
        <c:crossBetween val="between"/>
      </c:valAx>
      <c:catAx>
        <c:axId val="2735950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735946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1278652668416436E-2"/>
          <c:y val="2.3726224134239436E-2"/>
          <c:w val="0.85940901137357828"/>
          <c:h val="0.149306649168853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「既存施設の更新」事業費の推移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2810619581643674E-2"/>
          <c:y val="0.19513837989861169"/>
          <c:w val="0.89756182420196595"/>
          <c:h val="0.7147928088663513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'経済性比較、エネルギー、GHG'!$A$20</c:f>
              <c:strCache>
                <c:ptCount val="1"/>
                <c:pt idx="0">
                  <c:v>A下水処理場維持管理費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'経済性比較、エネルギー、GHG'!$E$10:$AC$10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cat>
          <c:val>
            <c:numRef>
              <c:f>'経済性比較、エネルギー、GHG'!$E$20:$AC$20</c:f>
              <c:numCache>
                <c:formatCode>#,##0_);[Red]\(#,##0\)</c:formatCode>
                <c:ptCount val="25"/>
                <c:pt idx="0">
                  <c:v>111.1425</c:v>
                </c:pt>
                <c:pt idx="1">
                  <c:v>111.13390410620862</c:v>
                </c:pt>
                <c:pt idx="2">
                  <c:v>111.12362518041571</c:v>
                </c:pt>
                <c:pt idx="3">
                  <c:v>111.11164341638622</c:v>
                </c:pt>
                <c:pt idx="4">
                  <c:v>111.09774975779159</c:v>
                </c:pt>
                <c:pt idx="5">
                  <c:v>111.08210073073104</c:v>
                </c:pt>
                <c:pt idx="6">
                  <c:v>111.06466508050694</c:v>
                </c:pt>
                <c:pt idx="7">
                  <c:v>111.04521795579592</c:v>
                </c:pt>
                <c:pt idx="8">
                  <c:v>111.02390607957031</c:v>
                </c:pt>
                <c:pt idx="9">
                  <c:v>111.00068466227444</c:v>
                </c:pt>
                <c:pt idx="10">
                  <c:v>110.97530927151917</c:v>
                </c:pt>
                <c:pt idx="11">
                  <c:v>65.913218400000005</c:v>
                </c:pt>
                <c:pt idx="12">
                  <c:v>65.895708061141789</c:v>
                </c:pt>
                <c:pt idx="13">
                  <c:v>65.876801932363819</c:v>
                </c:pt>
                <c:pt idx="14">
                  <c:v>65.856572009586984</c:v>
                </c:pt>
                <c:pt idx="15">
                  <c:v>65.834968860583999</c:v>
                </c:pt>
                <c:pt idx="16">
                  <c:v>65.811813262410837</c:v>
                </c:pt>
                <c:pt idx="17">
                  <c:v>65.78716592946661</c:v>
                </c:pt>
                <c:pt idx="18">
                  <c:v>65.760960136394516</c:v>
                </c:pt>
                <c:pt idx="19">
                  <c:v>65.732990928458889</c:v>
                </c:pt>
                <c:pt idx="20">
                  <c:v>65.703303004569065</c:v>
                </c:pt>
                <c:pt idx="21">
                  <c:v>65.671805456455431</c:v>
                </c:pt>
                <c:pt idx="22">
                  <c:v>65.638257798559522</c:v>
                </c:pt>
                <c:pt idx="23">
                  <c:v>65.602680785948422</c:v>
                </c:pt>
                <c:pt idx="24">
                  <c:v>65.564948249034657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11-47E5-ABF8-8FFC677FF948}"/>
            </c:ext>
          </c:extLst>
        </c:ser>
        <c:ser>
          <c:idx val="1"/>
          <c:order val="1"/>
          <c:tx>
            <c:strRef>
              <c:f>'経済性比較、エネルギー、GHG'!$A$21</c:f>
              <c:strCache>
                <c:ptCount val="1"/>
                <c:pt idx="0">
                  <c:v>農業集落排水施設維持管理費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'経済性比較、エネルギー、GHG'!$E$10:$AC$10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cat>
          <c:val>
            <c:numRef>
              <c:f>'経済性比較、エネルギー、GHG'!$E$21:$AC$21</c:f>
              <c:numCache>
                <c:formatCode>#,##0_);[Red]\(#,##0\)</c:formatCode>
                <c:ptCount val="25"/>
                <c:pt idx="0">
                  <c:v>26.608499999999999</c:v>
                </c:pt>
                <c:pt idx="1">
                  <c:v>26.600505317376566</c:v>
                </c:pt>
                <c:pt idx="2">
                  <c:v>26.590879517709304</c:v>
                </c:pt>
                <c:pt idx="3">
                  <c:v>26.579604705678662</c:v>
                </c:pt>
                <c:pt idx="4">
                  <c:v>26.566659711413688</c:v>
                </c:pt>
                <c:pt idx="5">
                  <c:v>5.5140180055048296</c:v>
                </c:pt>
                <c:pt idx="6">
                  <c:v>5.5106199874672424</c:v>
                </c:pt>
                <c:pt idx="7">
                  <c:v>5.5068575332871212</c:v>
                </c:pt>
                <c:pt idx="8">
                  <c:v>5.5027231745918073</c:v>
                </c:pt>
                <c:pt idx="9">
                  <c:v>5.4982085556485085</c:v>
                </c:pt>
                <c:pt idx="10">
                  <c:v>5.4933043705114093</c:v>
                </c:pt>
                <c:pt idx="11">
                  <c:v>5.488000290916105</c:v>
                </c:pt>
                <c:pt idx="12">
                  <c:v>5.4822848836526497</c:v>
                </c:pt>
                <c:pt idx="13">
                  <c:v>5.476145515904741</c:v>
                </c:pt>
                <c:pt idx="14">
                  <c:v>5.4695682467483904</c:v>
                </c:pt>
                <c:pt idx="15">
                  <c:v>5.4625377026458608</c:v>
                </c:pt>
                <c:pt idx="16">
                  <c:v>5.4550369343332621</c:v>
                </c:pt>
                <c:pt idx="17">
                  <c:v>5.4470472519626165</c:v>
                </c:pt>
                <c:pt idx="18">
                  <c:v>5.4385480346931097</c:v>
                </c:pt>
                <c:pt idx="19">
                  <c:v>5.4295165100970921</c:v>
                </c:pt>
                <c:pt idx="20">
                  <c:v>5.419927497705717</c:v>
                </c:pt>
                <c:pt idx="21">
                  <c:v>5.4097531097054858</c:v>
                </c:pt>
                <c:pt idx="22">
                  <c:v>5.3989624001250851</c:v>
                </c:pt>
                <c:pt idx="23">
                  <c:v>5.3875209517085798</c:v>
                </c:pt>
                <c:pt idx="24">
                  <c:v>5.3753903868998218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11-47E5-ABF8-8FFC677FF948}"/>
            </c:ext>
          </c:extLst>
        </c:ser>
        <c:ser>
          <c:idx val="2"/>
          <c:order val="2"/>
          <c:tx>
            <c:strRef>
              <c:f>'経済性比較、エネルギー、GHG'!$A$22</c:f>
              <c:strCache>
                <c:ptCount val="1"/>
                <c:pt idx="0">
                  <c:v>A下水処理場更新費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'経済性比較、エネルギー、GHG'!$E$10:$AC$10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cat>
          <c:val>
            <c:numRef>
              <c:f>'経済性比較、エネルギー、GHG'!$E$22:$AC$22</c:f>
              <c:numCache>
                <c:formatCode>General</c:formatCode>
                <c:ptCount val="25"/>
                <c:pt idx="10" formatCode="#,##0_);[Red]\(#,##0\)">
                  <c:v>1169.1798809010888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11-47E5-ABF8-8FFC677FF948}"/>
            </c:ext>
          </c:extLst>
        </c:ser>
        <c:ser>
          <c:idx val="3"/>
          <c:order val="3"/>
          <c:tx>
            <c:strRef>
              <c:f>'経済性比較、エネルギー、GHG'!$A$23</c:f>
              <c:strCache>
                <c:ptCount val="1"/>
                <c:pt idx="0">
                  <c:v>農業集落排水施設維持管理費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'経済性比較、エネルギー、GHG'!$E$10:$AC$10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cat>
          <c:val>
            <c:numRef>
              <c:f>'経済性比較、エネルギー、GHG'!$E$23:$AC$23</c:f>
              <c:numCache>
                <c:formatCode>General</c:formatCode>
                <c:ptCount val="25"/>
                <c:pt idx="4" formatCode="0">
                  <c:v>146.0908423449755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111-47E5-ABF8-8FFC677FF9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5005856"/>
        <c:axId val="275006248"/>
      </c:barChart>
      <c:lineChart>
        <c:grouping val="standard"/>
        <c:varyColors val="0"/>
        <c:ser>
          <c:idx val="5"/>
          <c:order val="4"/>
          <c:tx>
            <c:strRef>
              <c:f>'経済性比較、エネルギー、GHG'!$A$25</c:f>
              <c:strCache>
                <c:ptCount val="1"/>
                <c:pt idx="0">
                  <c:v>累計事業費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'経済性比較、エネルギー、GHG'!$E$25:$AC$25</c:f>
              <c:numCache>
                <c:formatCode>#,##0_);[Red]\(#,##0\)</c:formatCode>
                <c:ptCount val="25"/>
                <c:pt idx="0">
                  <c:v>137.751</c:v>
                </c:pt>
                <c:pt idx="1">
                  <c:v>275.48540942358522</c:v>
                </c:pt>
                <c:pt idx="2">
                  <c:v>413.19991412171021</c:v>
                </c:pt>
                <c:pt idx="3">
                  <c:v>550.89116224377506</c:v>
                </c:pt>
                <c:pt idx="4">
                  <c:v>834.64641405795578</c:v>
                </c:pt>
                <c:pt idx="5">
                  <c:v>951.24253279419167</c:v>
                </c:pt>
                <c:pt idx="6">
                  <c:v>1067.8178178621658</c:v>
                </c:pt>
                <c:pt idx="7">
                  <c:v>1184.3698933512489</c:v>
                </c:pt>
                <c:pt idx="8">
                  <c:v>1300.8965226054111</c:v>
                </c:pt>
                <c:pt idx="9">
                  <c:v>1417.3954158233339</c:v>
                </c:pt>
                <c:pt idx="10">
                  <c:v>2703.043910366453</c:v>
                </c:pt>
                <c:pt idx="11">
                  <c:v>2774.4451290573693</c:v>
                </c:pt>
                <c:pt idx="12">
                  <c:v>2845.8231220021639</c:v>
                </c:pt>
                <c:pt idx="13">
                  <c:v>2917.1760694504324</c:v>
                </c:pt>
                <c:pt idx="14">
                  <c:v>2988.5022097067676</c:v>
                </c:pt>
                <c:pt idx="15">
                  <c:v>3059.7997162699976</c:v>
                </c:pt>
                <c:pt idx="16">
                  <c:v>3131.0665664667417</c:v>
                </c:pt>
                <c:pt idx="17">
                  <c:v>3202.3007796481711</c:v>
                </c:pt>
                <c:pt idx="18">
                  <c:v>3273.5002878192586</c:v>
                </c:pt>
                <c:pt idx="19">
                  <c:v>3344.6627952578147</c:v>
                </c:pt>
                <c:pt idx="20">
                  <c:v>3415.7860257600896</c:v>
                </c:pt>
                <c:pt idx="21">
                  <c:v>3486.8675843262504</c:v>
                </c:pt>
                <c:pt idx="22">
                  <c:v>3557.9048045249351</c:v>
                </c:pt>
                <c:pt idx="23">
                  <c:v>3628.8950062625922</c:v>
                </c:pt>
                <c:pt idx="24">
                  <c:v>3699.8353448985267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111-47E5-ABF8-8FFC677FF9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5007032"/>
        <c:axId val="275006640"/>
      </c:lineChart>
      <c:catAx>
        <c:axId val="275005856"/>
        <c:scaling>
          <c:orientation val="minMax"/>
        </c:scaling>
        <c:delete val="0"/>
        <c:axPos val="b"/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75006248"/>
        <c:crosses val="autoZero"/>
        <c:auto val="1"/>
        <c:lblAlgn val="ctr"/>
        <c:lblOffset val="100"/>
        <c:noMultiLvlLbl val="0"/>
      </c:catAx>
      <c:valAx>
        <c:axId val="275006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事業費（百万円）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75005856"/>
        <c:crosses val="autoZero"/>
        <c:crossBetween val="between"/>
      </c:valAx>
      <c:valAx>
        <c:axId val="27500664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累計事業費（百万円）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75007032"/>
        <c:crosses val="max"/>
        <c:crossBetween val="between"/>
      </c:valAx>
      <c:catAx>
        <c:axId val="275007032"/>
        <c:scaling>
          <c:orientation val="minMax"/>
        </c:scaling>
        <c:delete val="1"/>
        <c:axPos val="b"/>
        <c:majorTickMark val="out"/>
        <c:minorTickMark val="none"/>
        <c:tickLblPos val="nextTo"/>
        <c:crossAx val="275006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2108344466140792"/>
          <c:y val="0.1108881499922727"/>
          <c:w val="0.62221537496434054"/>
          <c:h val="6.55869047757490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「処理施設の再編成」事業費の推移</a:t>
            </a:r>
          </a:p>
        </c:rich>
      </c:tx>
      <c:layout>
        <c:manualLayout>
          <c:xMode val="edge"/>
          <c:yMode val="edge"/>
          <c:x val="0.37430112663845627"/>
          <c:y val="2.8702362633850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478813412342063E-2"/>
          <c:y val="0.17685185185185184"/>
          <c:w val="0.89825210143809731"/>
          <c:h val="0.7348454359871682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'経済性比較、エネルギー、GHG'!$A$74</c:f>
              <c:strCache>
                <c:ptCount val="1"/>
                <c:pt idx="0">
                  <c:v>A下水処理場維持管理費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'経済性比較、エネルギー、GHG'!$E$63:$AC$63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cat>
          <c:val>
            <c:numRef>
              <c:f>'経済性比較、エネルギー、GHG'!$E$74:$AC$74</c:f>
              <c:numCache>
                <c:formatCode>#,##0_);[Red]\(#,##0\)</c:formatCode>
                <c:ptCount val="25"/>
                <c:pt idx="0">
                  <c:v>111.1425</c:v>
                </c:pt>
                <c:pt idx="1">
                  <c:v>111.13390410620862</c:v>
                </c:pt>
                <c:pt idx="2">
                  <c:v>111.12362518041571</c:v>
                </c:pt>
                <c:pt idx="3">
                  <c:v>111.11164341638622</c:v>
                </c:pt>
                <c:pt idx="4">
                  <c:v>111.09774975779159</c:v>
                </c:pt>
                <c:pt idx="5">
                  <c:v>111.32530695910449</c:v>
                </c:pt>
                <c:pt idx="6">
                  <c:v>111.3078274736752</c:v>
                </c:pt>
                <c:pt idx="7">
                  <c:v>111.28834351431701</c:v>
                </c:pt>
                <c:pt idx="8">
                  <c:v>111.26698502537626</c:v>
                </c:pt>
                <c:pt idx="9">
                  <c:v>111.24370697820387</c:v>
                </c:pt>
                <c:pt idx="10">
                  <c:v>111.21828192928058</c:v>
                </c:pt>
                <c:pt idx="11">
                  <c:v>67.95794475000001</c:v>
                </c:pt>
                <c:pt idx="12">
                  <c:v>67.9398875724455</c:v>
                </c:pt>
                <c:pt idx="13">
                  <c:v>67.920398677760502</c:v>
                </c:pt>
                <c:pt idx="14">
                  <c:v>67.8995412426965</c:v>
                </c:pt>
                <c:pt idx="15">
                  <c:v>67.877264154645545</c:v>
                </c:pt>
                <c:pt idx="16">
                  <c:v>67.853394125603245</c:v>
                </c:pt>
                <c:pt idx="17">
                  <c:v>67.827982259365413</c:v>
                </c:pt>
                <c:pt idx="18">
                  <c:v>67.800959573531557</c:v>
                </c:pt>
                <c:pt idx="19">
                  <c:v>67.772126812740865</c:v>
                </c:pt>
                <c:pt idx="20">
                  <c:v>67.741518006094623</c:v>
                </c:pt>
                <c:pt idx="21">
                  <c:v>67.70903918736623</c:v>
                </c:pt>
                <c:pt idx="22">
                  <c:v>67.674455183620452</c:v>
                </c:pt>
                <c:pt idx="23">
                  <c:v>67.637774622337659</c:v>
                </c:pt>
                <c:pt idx="24">
                  <c:v>67.598867115890258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A3-47C1-9874-F5D4C9B1E87D}"/>
            </c:ext>
          </c:extLst>
        </c:ser>
        <c:ser>
          <c:idx val="1"/>
          <c:order val="1"/>
          <c:tx>
            <c:strRef>
              <c:f>'経済性比較、エネルギー、GHG'!$A$75</c:f>
              <c:strCache>
                <c:ptCount val="1"/>
                <c:pt idx="0">
                  <c:v>農業集落排水施設維持管理費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'経済性比較、エネルギー、GHG'!$E$63:$AC$63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cat>
          <c:val>
            <c:numRef>
              <c:f>'経済性比較、エネルギー、GHG'!$E$75:$AC$75</c:f>
              <c:numCache>
                <c:formatCode>#,##0_);[Red]\(#,##0\)</c:formatCode>
                <c:ptCount val="25"/>
                <c:pt idx="0">
                  <c:v>26.608499999999999</c:v>
                </c:pt>
                <c:pt idx="1">
                  <c:v>26.600505317376566</c:v>
                </c:pt>
                <c:pt idx="2">
                  <c:v>26.590879517709304</c:v>
                </c:pt>
                <c:pt idx="3">
                  <c:v>26.579604705678662</c:v>
                </c:pt>
                <c:pt idx="4">
                  <c:v>26.566659711413688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A3-47C1-9874-F5D4C9B1E87D}"/>
            </c:ext>
          </c:extLst>
        </c:ser>
        <c:ser>
          <c:idx val="2"/>
          <c:order val="2"/>
          <c:tx>
            <c:strRef>
              <c:f>'経済性比較、エネルギー、GHG'!$A$76</c:f>
              <c:strCache>
                <c:ptCount val="1"/>
                <c:pt idx="0">
                  <c:v>A下水処理場更新費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'経済性比較、エネルギー、GHG'!$E$63:$AC$63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cat>
          <c:val>
            <c:numRef>
              <c:f>'経済性比較、エネルギー、GHG'!$E$76:$AC$76</c:f>
              <c:numCache>
                <c:formatCode>General</c:formatCode>
                <c:ptCount val="25"/>
                <c:pt idx="10" formatCode="#,##0_);[Red]\(#,##0\)">
                  <c:v>1195.9316493797346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A3-47C1-9874-F5D4C9B1E87D}"/>
            </c:ext>
          </c:extLst>
        </c:ser>
        <c:ser>
          <c:idx val="3"/>
          <c:order val="3"/>
          <c:tx>
            <c:strRef>
              <c:f>'経済性比較、エネルギー、GHG'!$A$77</c:f>
              <c:strCache>
                <c:ptCount val="1"/>
                <c:pt idx="0">
                  <c:v>接続事業建設費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'経済性比較、エネルギー、GHG'!$E$63:$AC$63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cat>
          <c:val>
            <c:numRef>
              <c:f>'経済性比較、エネルギー、GHG'!$E$77:$AC$77</c:f>
              <c:numCache>
                <c:formatCode>General</c:formatCode>
                <c:ptCount val="25"/>
                <c:pt idx="4">
                  <c:v>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5A3-47C1-9874-F5D4C9B1E87D}"/>
            </c:ext>
          </c:extLst>
        </c:ser>
        <c:ser>
          <c:idx val="4"/>
          <c:order val="4"/>
          <c:tx>
            <c:strRef>
              <c:f>'経済性比較、エネルギー、GHG'!$A$78</c:f>
              <c:strCache>
                <c:ptCount val="1"/>
                <c:pt idx="0">
                  <c:v>接続維持管理費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'経済性比較、エネルギー、GHG'!$E$63:$AC$63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cat>
          <c:val>
            <c:numRef>
              <c:f>'経済性比較、エネルギー、GHG'!$E$78:$AC$78</c:f>
              <c:numCache>
                <c:formatCode>General</c:formatCode>
                <c:ptCount val="25"/>
                <c:pt idx="5" formatCode="0.0">
                  <c:v>5</c:v>
                </c:pt>
                <c:pt idx="6" formatCode="0.0">
                  <c:v>5</c:v>
                </c:pt>
                <c:pt idx="7" formatCode="0.0">
                  <c:v>5</c:v>
                </c:pt>
                <c:pt idx="8" formatCode="0.0">
                  <c:v>5</c:v>
                </c:pt>
                <c:pt idx="9" formatCode="0.0">
                  <c:v>5</c:v>
                </c:pt>
                <c:pt idx="10" formatCode="0.0">
                  <c:v>5</c:v>
                </c:pt>
                <c:pt idx="11" formatCode="0.0">
                  <c:v>5</c:v>
                </c:pt>
                <c:pt idx="12" formatCode="0.0">
                  <c:v>5</c:v>
                </c:pt>
                <c:pt idx="13" formatCode="0.0">
                  <c:v>5</c:v>
                </c:pt>
                <c:pt idx="14" formatCode="0.0">
                  <c:v>5</c:v>
                </c:pt>
                <c:pt idx="15" formatCode="0.0">
                  <c:v>5</c:v>
                </c:pt>
                <c:pt idx="16" formatCode="0.0">
                  <c:v>5</c:v>
                </c:pt>
                <c:pt idx="17" formatCode="0.0">
                  <c:v>5</c:v>
                </c:pt>
                <c:pt idx="18" formatCode="0.0">
                  <c:v>5</c:v>
                </c:pt>
                <c:pt idx="19" formatCode="0.0">
                  <c:v>5</c:v>
                </c:pt>
                <c:pt idx="20" formatCode="0.0">
                  <c:v>5</c:v>
                </c:pt>
                <c:pt idx="21" formatCode="0.0">
                  <c:v>5</c:v>
                </c:pt>
                <c:pt idx="22" formatCode="0.0">
                  <c:v>5</c:v>
                </c:pt>
                <c:pt idx="23" formatCode="0.0">
                  <c:v>5</c:v>
                </c:pt>
                <c:pt idx="24" formatCode="0.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5A3-47C1-9874-F5D4C9B1E8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5162528"/>
        <c:axId val="275162920"/>
      </c:barChart>
      <c:lineChart>
        <c:grouping val="standard"/>
        <c:varyColors val="0"/>
        <c:ser>
          <c:idx val="6"/>
          <c:order val="5"/>
          <c:tx>
            <c:strRef>
              <c:f>'経済性比較、エネルギー、GHG'!$A$80</c:f>
              <c:strCache>
                <c:ptCount val="1"/>
                <c:pt idx="0">
                  <c:v>累計事業費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'経済性比較、エネルギー、GHG'!$E$63:$AC$63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cat>
          <c:val>
            <c:numRef>
              <c:f>'経済性比較、エネルギー、GHG'!$E$80:$AC$80</c:f>
              <c:numCache>
                <c:formatCode>#,##0_);[Red]\(#,##0\)</c:formatCode>
                <c:ptCount val="25"/>
                <c:pt idx="0">
                  <c:v>137.751</c:v>
                </c:pt>
                <c:pt idx="1">
                  <c:v>275.48540942358522</c:v>
                </c:pt>
                <c:pt idx="2">
                  <c:v>413.19991412171021</c:v>
                </c:pt>
                <c:pt idx="3">
                  <c:v>550.89116224377506</c:v>
                </c:pt>
                <c:pt idx="4">
                  <c:v>1502.5555717129805</c:v>
                </c:pt>
                <c:pt idx="5">
                  <c:v>1618.8808786720849</c:v>
                </c:pt>
                <c:pt idx="6">
                  <c:v>1735.1887061457601</c:v>
                </c:pt>
                <c:pt idx="7">
                  <c:v>1851.477049660077</c:v>
                </c:pt>
                <c:pt idx="8">
                  <c:v>1967.7440346854532</c:v>
                </c:pt>
                <c:pt idx="9">
                  <c:v>2083.9877416636573</c:v>
                </c:pt>
                <c:pt idx="10">
                  <c:v>3396.1376729726726</c:v>
                </c:pt>
                <c:pt idx="11">
                  <c:v>3469.0956177226726</c:v>
                </c:pt>
                <c:pt idx="12">
                  <c:v>3542.0355052951181</c:v>
                </c:pt>
                <c:pt idx="13">
                  <c:v>3614.9559039728788</c:v>
                </c:pt>
                <c:pt idx="14">
                  <c:v>3687.8554452155754</c:v>
                </c:pt>
                <c:pt idx="15">
                  <c:v>3760.7327093702211</c:v>
                </c:pt>
                <c:pt idx="16">
                  <c:v>3833.5861034958243</c:v>
                </c:pt>
                <c:pt idx="17">
                  <c:v>3906.4140857551897</c:v>
                </c:pt>
                <c:pt idx="18">
                  <c:v>3979.2150453287213</c:v>
                </c:pt>
                <c:pt idx="19">
                  <c:v>4051.987172141462</c:v>
                </c:pt>
                <c:pt idx="20">
                  <c:v>4124.7286901475563</c:v>
                </c:pt>
                <c:pt idx="21">
                  <c:v>4197.4377293349226</c:v>
                </c:pt>
                <c:pt idx="22">
                  <c:v>4270.1121845185426</c:v>
                </c:pt>
                <c:pt idx="23">
                  <c:v>4342.7499591408805</c:v>
                </c:pt>
                <c:pt idx="24">
                  <c:v>4415.3488262567707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5A3-47C1-9874-F5D4C9B1E8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5163704"/>
        <c:axId val="275163312"/>
      </c:lineChart>
      <c:catAx>
        <c:axId val="275162528"/>
        <c:scaling>
          <c:orientation val="minMax"/>
        </c:scaling>
        <c:delete val="0"/>
        <c:axPos val="b"/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75162920"/>
        <c:crosses val="autoZero"/>
        <c:auto val="1"/>
        <c:lblAlgn val="ctr"/>
        <c:lblOffset val="100"/>
        <c:noMultiLvlLbl val="0"/>
      </c:catAx>
      <c:valAx>
        <c:axId val="275162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事業費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75162528"/>
        <c:crosses val="autoZero"/>
        <c:crossBetween val="between"/>
      </c:valAx>
      <c:valAx>
        <c:axId val="2751633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累計事業費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75163704"/>
        <c:crosses val="max"/>
        <c:crossBetween val="between"/>
      </c:valAx>
      <c:catAx>
        <c:axId val="275163704"/>
        <c:scaling>
          <c:orientation val="minMax"/>
        </c:scaling>
        <c:delete val="1"/>
        <c:axPos val="b"/>
        <c:numFmt formatCode="#,##0_);[Red]\(#,##0\)" sourceLinked="1"/>
        <c:majorTickMark val="out"/>
        <c:minorTickMark val="none"/>
        <c:tickLblPos val="nextTo"/>
        <c:crossAx val="2751633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ja-JP"/>
              <a:t>温室効果ガスの排出量</a:t>
            </a:r>
            <a:r>
              <a:rPr lang="ja-JP" altLang="en-US"/>
              <a:t>［</a:t>
            </a:r>
            <a:r>
              <a:rPr lang="ja-JP"/>
              <a:t>ｔ</a:t>
            </a:r>
            <a:r>
              <a:rPr lang="en-US"/>
              <a:t>-CO2</a:t>
            </a:r>
            <a:r>
              <a:rPr lang="ja-JP" altLang="en-US"/>
              <a:t>］</a:t>
            </a:r>
            <a:endParaRPr lang="ja-JP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>
              <a:gsLst>
                <a:gs pos="0">
                  <a:schemeClr val="accent2"/>
                </a:gs>
                <a:gs pos="100000">
                  <a:schemeClr val="accent2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'経済性比較、エネルギー、GHG'!$C$148:$C$149</c:f>
              <c:strCache>
                <c:ptCount val="2"/>
                <c:pt idx="0">
                  <c:v>既存施設の更新</c:v>
                </c:pt>
                <c:pt idx="1">
                  <c:v>処理施設の再編成</c:v>
                </c:pt>
              </c:strCache>
            </c:strRef>
          </c:cat>
          <c:val>
            <c:numRef>
              <c:f>'経済性比較、エネルギー、GHG'!$AD$148:$AD$149</c:f>
              <c:numCache>
                <c:formatCode>#,##0_);[Red]\(#,##0\)</c:formatCode>
                <c:ptCount val="2"/>
                <c:pt idx="0">
                  <c:v>16344.806605950032</c:v>
                </c:pt>
                <c:pt idx="1">
                  <c:v>14362.771522868346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B9-4256-A50C-86A06C6A812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275164488"/>
        <c:axId val="275164880"/>
      </c:barChart>
      <c:catAx>
        <c:axId val="275164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ja-JP"/>
          </a:p>
        </c:txPr>
        <c:crossAx val="275164880"/>
        <c:crosses val="autoZero"/>
        <c:auto val="1"/>
        <c:lblAlgn val="ctr"/>
        <c:lblOffset val="100"/>
        <c:noMultiLvlLbl val="0"/>
      </c:catAx>
      <c:valAx>
        <c:axId val="275164880"/>
        <c:scaling>
          <c:orientation val="minMax"/>
          <c:min val="0"/>
        </c:scaling>
        <c:delete val="1"/>
        <c:axPos val="l"/>
        <c:numFmt formatCode="#,##0_);[Red]\(#,##0\)" sourceLinked="0"/>
        <c:majorTickMark val="none"/>
        <c:minorTickMark val="none"/>
        <c:tickLblPos val="nextTo"/>
        <c:crossAx val="275164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ja-JP" altLang="en-US"/>
              <a:t>消費電力量［千</a:t>
            </a:r>
            <a:r>
              <a:rPr lang="en-US" altLang="ja-JP"/>
              <a:t>kWh</a:t>
            </a:r>
            <a:r>
              <a:rPr lang="ja-JP" altLang="en-US"/>
              <a:t>］</a:t>
            </a:r>
            <a:endParaRPr lang="ja-JP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>
              <a:gsLst>
                <a:gs pos="0">
                  <a:schemeClr val="accent2"/>
                </a:gs>
                <a:gs pos="100000">
                  <a:schemeClr val="accent2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'経済性比較、エネルギー、GHG'!$C$138:$C$139</c:f>
              <c:strCache>
                <c:ptCount val="2"/>
                <c:pt idx="0">
                  <c:v>既存施設の更新</c:v>
                </c:pt>
                <c:pt idx="1">
                  <c:v>処理施設の再編成</c:v>
                </c:pt>
              </c:strCache>
            </c:strRef>
          </c:cat>
          <c:val>
            <c:numRef>
              <c:f>'経済性比較、エネルギー、GHG'!$AD$138:$AD$139</c:f>
              <c:numCache>
                <c:formatCode>#,##0_);[Red]\(#,##0\)</c:formatCode>
                <c:ptCount val="2"/>
                <c:pt idx="0">
                  <c:v>29100.313070814413</c:v>
                </c:pt>
                <c:pt idx="1">
                  <c:v>24918.804456718022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A6-424D-A5E1-FC504447030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275165664"/>
        <c:axId val="275166056"/>
      </c:barChart>
      <c:catAx>
        <c:axId val="275165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ja-JP"/>
          </a:p>
        </c:txPr>
        <c:crossAx val="275166056"/>
        <c:crosses val="autoZero"/>
        <c:auto val="1"/>
        <c:lblAlgn val="ctr"/>
        <c:lblOffset val="100"/>
        <c:noMultiLvlLbl val="0"/>
      </c:catAx>
      <c:valAx>
        <c:axId val="275166056"/>
        <c:scaling>
          <c:orientation val="minMax"/>
          <c:min val="0"/>
        </c:scaling>
        <c:delete val="1"/>
        <c:axPos val="l"/>
        <c:numFmt formatCode="#,##0_);[Red]\(#,##0\)" sourceLinked="0"/>
        <c:majorTickMark val="none"/>
        <c:minorTickMark val="none"/>
        <c:tickLblPos val="nextTo"/>
        <c:crossAx val="275165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ja-JP" altLang="en-US"/>
              <a:t>消費エネルギー量［千</a:t>
            </a:r>
            <a:r>
              <a:rPr lang="en-US" altLang="ja-JP"/>
              <a:t>MJ</a:t>
            </a:r>
            <a:r>
              <a:rPr lang="ja-JP" altLang="en-US"/>
              <a:t>］</a:t>
            </a:r>
            <a:endParaRPr lang="ja-JP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gradFill>
              <a:gsLst>
                <a:gs pos="0">
                  <a:schemeClr val="accent2"/>
                </a:gs>
                <a:gs pos="100000">
                  <a:schemeClr val="accent2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'経済性比較、エネルギー、GHG'!$C$140:$C$141</c:f>
              <c:strCache>
                <c:ptCount val="2"/>
                <c:pt idx="0">
                  <c:v>既存施設の更新</c:v>
                </c:pt>
                <c:pt idx="1">
                  <c:v>処理施設の再編成</c:v>
                </c:pt>
              </c:strCache>
            </c:strRef>
          </c:cat>
          <c:val>
            <c:numRef>
              <c:f>'経済性比較、エネルギー、GHG'!$AD$140:$AD$141</c:f>
              <c:numCache>
                <c:formatCode>#,##0_);[Red]\(#,##0\)</c:formatCode>
                <c:ptCount val="2"/>
                <c:pt idx="0">
                  <c:v>104761.12705493192</c:v>
                </c:pt>
                <c:pt idx="1">
                  <c:v>89707.696044184908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9-4FEE-A83D-B04E4E26509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275008992"/>
        <c:axId val="275008600"/>
      </c:barChart>
      <c:catAx>
        <c:axId val="275008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ja-JP"/>
          </a:p>
        </c:txPr>
        <c:crossAx val="275008600"/>
        <c:crosses val="autoZero"/>
        <c:auto val="1"/>
        <c:lblAlgn val="ctr"/>
        <c:lblOffset val="100"/>
        <c:noMultiLvlLbl val="0"/>
      </c:catAx>
      <c:valAx>
        <c:axId val="275008600"/>
        <c:scaling>
          <c:orientation val="minMax"/>
          <c:min val="0"/>
        </c:scaling>
        <c:delete val="1"/>
        <c:axPos val="l"/>
        <c:numFmt formatCode="#,##0_);[Red]\(#,##0\)" sourceLinked="0"/>
        <c:majorTickMark val="none"/>
        <c:minorTickMark val="none"/>
        <c:tickLblPos val="nextTo"/>
        <c:crossAx val="275008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136071</xdr:colOff>
      <xdr:row>4</xdr:row>
      <xdr:rowOff>97970</xdr:rowOff>
    </xdr:from>
    <xdr:to>
      <xdr:col>10</xdr:col>
      <xdr:colOff>421821</xdr:colOff>
      <xdr:row>20</xdr:row>
      <xdr:rowOff>149678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280307</xdr:colOff>
      <xdr:row>25</xdr:row>
      <xdr:rowOff>66674</xdr:rowOff>
    </xdr:from>
    <xdr:to>
      <xdr:col>8</xdr:col>
      <xdr:colOff>285751</xdr:colOff>
      <xdr:row>41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625930</xdr:colOff>
      <xdr:row>25</xdr:row>
      <xdr:rowOff>54428</xdr:rowOff>
    </xdr:from>
    <xdr:to>
      <xdr:col>19</xdr:col>
      <xdr:colOff>2</xdr:colOff>
      <xdr:row>41</xdr:row>
      <xdr:rowOff>54429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748554</xdr:colOff>
      <xdr:row>33</xdr:row>
      <xdr:rowOff>11206</xdr:rowOff>
    </xdr:from>
    <xdr:to>
      <xdr:col>27</xdr:col>
      <xdr:colOff>502024</xdr:colOff>
      <xdr:row>52</xdr:row>
      <xdr:rowOff>85164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777208</xdr:colOff>
      <xdr:row>90</xdr:row>
      <xdr:rowOff>59549</xdr:rowOff>
    </xdr:from>
    <xdr:to>
      <xdr:col>28</xdr:col>
      <xdr:colOff>71237</xdr:colOff>
      <xdr:row>108</xdr:row>
      <xdr:rowOff>122463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557893</xdr:colOff>
      <xdr:row>149</xdr:row>
      <xdr:rowOff>259657</xdr:rowOff>
    </xdr:from>
    <xdr:to>
      <xdr:col>29</xdr:col>
      <xdr:colOff>102443</xdr:colOff>
      <xdr:row>166</xdr:row>
      <xdr:rowOff>482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1020537</xdr:colOff>
      <xdr:row>149</xdr:row>
      <xdr:rowOff>304958</xdr:rowOff>
    </xdr:from>
    <xdr:to>
      <xdr:col>8</xdr:col>
      <xdr:colOff>353786</xdr:colOff>
      <xdr:row>166</xdr:row>
      <xdr:rowOff>45783</xdr:rowOff>
    </xdr:to>
    <xdr:graphicFrame macro="">
      <xdr:nvGraphicFramePr>
        <xdr:cNvPr id="18" name="グラフ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231320</xdr:colOff>
      <xdr:row>149</xdr:row>
      <xdr:rowOff>280145</xdr:rowOff>
    </xdr:from>
    <xdr:to>
      <xdr:col>19</xdr:col>
      <xdr:colOff>100840</xdr:colOff>
      <xdr:row>166</xdr:row>
      <xdr:rowOff>20970</xdr:rowOff>
    </xdr:to>
    <xdr:graphicFrame macro="">
      <xdr:nvGraphicFramePr>
        <xdr:cNvPr id="19" name="グラフ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1"/>
  <sheetViews>
    <sheetView tabSelected="1" workbookViewId="0">
      <selection activeCell="F35" sqref="F35"/>
    </sheetView>
  </sheetViews>
  <sheetFormatPr defaultRowHeight="13.5" x14ac:dyDescent="0.15"/>
  <cols>
    <col min="2" max="2" width="25.625" bestFit="1" customWidth="1"/>
    <col min="3" max="3" width="8.125" style="1" customWidth="1"/>
    <col min="4" max="4" width="8.125" customWidth="1"/>
  </cols>
  <sheetData>
    <row r="1" spans="2:4" ht="15.75" customHeight="1" x14ac:dyDescent="0.15"/>
    <row r="2" spans="2:4" ht="15.75" customHeight="1" x14ac:dyDescent="0.15">
      <c r="B2" s="182" t="s">
        <v>3</v>
      </c>
      <c r="C2" s="2" t="s">
        <v>2</v>
      </c>
      <c r="D2" s="182" t="s">
        <v>1</v>
      </c>
    </row>
    <row r="3" spans="2:4" ht="15.75" customHeight="1" x14ac:dyDescent="0.15">
      <c r="B3" s="8" t="s">
        <v>0</v>
      </c>
      <c r="C3" s="4">
        <v>120</v>
      </c>
      <c r="D3" s="3" t="s">
        <v>250</v>
      </c>
    </row>
    <row r="4" spans="2:4" ht="15.75" customHeight="1" x14ac:dyDescent="0.15">
      <c r="B4" s="8" t="s">
        <v>4</v>
      </c>
      <c r="C4" s="4">
        <v>15500</v>
      </c>
      <c r="D4" s="3" t="s">
        <v>5</v>
      </c>
    </row>
    <row r="5" spans="2:4" ht="15.75" customHeight="1" x14ac:dyDescent="0.15">
      <c r="B5" s="8" t="s">
        <v>44</v>
      </c>
      <c r="C5" s="17">
        <v>1</v>
      </c>
      <c r="D5" s="21" t="s">
        <v>251</v>
      </c>
    </row>
    <row r="6" spans="2:4" ht="15.75" customHeight="1" x14ac:dyDescent="0.15">
      <c r="B6" s="3" t="s">
        <v>47</v>
      </c>
      <c r="C6" s="4">
        <f>+C4*C7</f>
        <v>10850</v>
      </c>
      <c r="D6" s="3" t="s">
        <v>5</v>
      </c>
    </row>
    <row r="7" spans="2:4" ht="15.75" customHeight="1" x14ac:dyDescent="0.15">
      <c r="B7" s="3" t="s">
        <v>48</v>
      </c>
      <c r="C7" s="24">
        <v>0.7</v>
      </c>
      <c r="D7" s="21" t="s">
        <v>251</v>
      </c>
    </row>
    <row r="8" spans="2:4" ht="15.75" customHeight="1" x14ac:dyDescent="0.15"/>
    <row r="9" spans="2:4" ht="15.75" customHeight="1" x14ac:dyDescent="0.15"/>
    <row r="10" spans="2:4" ht="15.75" customHeight="1" x14ac:dyDescent="0.15"/>
    <row r="11" spans="2:4" ht="15.75" customHeight="1" x14ac:dyDescent="0.15"/>
  </sheetData>
  <phoneticPr fontId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15"/>
  <sheetViews>
    <sheetView showGridLines="0" zoomScaleNormal="100" workbookViewId="0">
      <selection activeCell="X26" sqref="X26"/>
    </sheetView>
  </sheetViews>
  <sheetFormatPr defaultRowHeight="13.5" outlineLevelCol="1" x14ac:dyDescent="0.15"/>
  <cols>
    <col min="1" max="1" width="7.125" bestFit="1" customWidth="1"/>
    <col min="2" max="2" width="35.125" bestFit="1" customWidth="1"/>
    <col min="8" max="11" width="9" customWidth="1" outlineLevel="1"/>
    <col min="13" max="16" width="9" customWidth="1" outlineLevel="1"/>
    <col min="18" max="21" width="9" customWidth="1" outlineLevel="1"/>
    <col min="23" max="26" width="9" customWidth="1" outlineLevel="1"/>
  </cols>
  <sheetData>
    <row r="2" spans="1:31" ht="14.25" thickBot="1" x14ac:dyDescent="0.2">
      <c r="A2" s="232" t="s">
        <v>34</v>
      </c>
      <c r="B2" s="233"/>
      <c r="C2" s="85" t="str">
        <f>'整備の現状、人口見通し'!E8</f>
        <v>1（現在）</v>
      </c>
      <c r="D2" s="85">
        <f>'整備の現状、人口見通し'!F8</f>
        <v>2</v>
      </c>
      <c r="E2" s="85">
        <f>'整備の現状、人口見通し'!G8</f>
        <v>3</v>
      </c>
      <c r="F2" s="85">
        <f>'整備の現状、人口見通し'!H8</f>
        <v>4</v>
      </c>
      <c r="G2" s="85">
        <f>'整備の現状、人口見通し'!I8</f>
        <v>5</v>
      </c>
      <c r="H2" s="85">
        <f>'整備の現状、人口見通し'!J8</f>
        <v>6</v>
      </c>
      <c r="I2" s="85">
        <f>'整備の現状、人口見通し'!K8</f>
        <v>7</v>
      </c>
      <c r="J2" s="85">
        <f>'整備の現状、人口見通し'!L8</f>
        <v>8</v>
      </c>
      <c r="K2" s="85">
        <f>'整備の現状、人口見通し'!M8</f>
        <v>9</v>
      </c>
      <c r="L2" s="85">
        <f>'整備の現状、人口見通し'!N8</f>
        <v>10</v>
      </c>
      <c r="M2" s="85">
        <f>'整備の現状、人口見通し'!O8</f>
        <v>11</v>
      </c>
      <c r="N2" s="85">
        <f>'整備の現状、人口見通し'!P8</f>
        <v>12</v>
      </c>
      <c r="O2" s="85">
        <f>'整備の現状、人口見通し'!Q8</f>
        <v>13</v>
      </c>
      <c r="P2" s="85">
        <f>'整備の現状、人口見通し'!R8</f>
        <v>14</v>
      </c>
      <c r="Q2" s="85">
        <f>'整備の現状、人口見通し'!S8</f>
        <v>15</v>
      </c>
      <c r="R2" s="85">
        <f>'整備の現状、人口見通し'!T8</f>
        <v>16</v>
      </c>
      <c r="S2" s="85">
        <f>'整備の現状、人口見通し'!U8</f>
        <v>17</v>
      </c>
      <c r="T2" s="85">
        <f>'整備の現状、人口見通し'!V8</f>
        <v>18</v>
      </c>
      <c r="U2" s="85">
        <f>'整備の現状、人口見通し'!W8</f>
        <v>19</v>
      </c>
      <c r="V2" s="85">
        <f>'整備の現状、人口見通し'!X8</f>
        <v>20</v>
      </c>
      <c r="W2" s="85">
        <f>'整備の現状、人口見通し'!Y8</f>
        <v>21</v>
      </c>
      <c r="X2" s="85">
        <f>'整備の現状、人口見通し'!Z8</f>
        <v>22</v>
      </c>
      <c r="Y2" s="85">
        <f>'整備の現状、人口見通し'!AA8</f>
        <v>23</v>
      </c>
      <c r="Z2" s="85">
        <f>'整備の現状、人口見通し'!AB8</f>
        <v>24</v>
      </c>
      <c r="AA2" s="85">
        <f>'整備の現状、人口見通し'!AC8</f>
        <v>25</v>
      </c>
    </row>
    <row r="3" spans="1:31" ht="15" customHeight="1" thickTop="1" x14ac:dyDescent="0.15">
      <c r="A3" s="236" t="s">
        <v>170</v>
      </c>
      <c r="B3" s="237"/>
      <c r="C3" s="87">
        <v>21000</v>
      </c>
      <c r="D3" s="87">
        <v>20930</v>
      </c>
      <c r="E3" s="87">
        <v>20846</v>
      </c>
      <c r="F3" s="87">
        <v>20748</v>
      </c>
      <c r="G3" s="87">
        <v>20636</v>
      </c>
      <c r="H3" s="87">
        <v>20510</v>
      </c>
      <c r="I3" s="87">
        <v>20370</v>
      </c>
      <c r="J3" s="87">
        <v>20216</v>
      </c>
      <c r="K3" s="87">
        <v>20048</v>
      </c>
      <c r="L3" s="87">
        <v>19866</v>
      </c>
      <c r="M3" s="87">
        <v>19670</v>
      </c>
      <c r="N3" s="87">
        <v>19460</v>
      </c>
      <c r="O3" s="87">
        <v>19236</v>
      </c>
      <c r="P3" s="87">
        <v>18998</v>
      </c>
      <c r="Q3" s="87">
        <v>18746</v>
      </c>
      <c r="R3" s="87">
        <v>18480</v>
      </c>
      <c r="S3" s="87">
        <v>18200</v>
      </c>
      <c r="T3" s="87">
        <v>17906</v>
      </c>
      <c r="U3" s="87">
        <v>17598</v>
      </c>
      <c r="V3" s="87">
        <v>17276</v>
      </c>
      <c r="W3" s="87">
        <v>16940</v>
      </c>
      <c r="X3" s="87">
        <v>16590</v>
      </c>
      <c r="Y3" s="87">
        <v>16226</v>
      </c>
      <c r="Z3" s="87">
        <v>15848</v>
      </c>
      <c r="AA3" s="87">
        <v>15456</v>
      </c>
    </row>
    <row r="4" spans="1:31" ht="15" customHeight="1" x14ac:dyDescent="0.15">
      <c r="A4" s="238" t="s">
        <v>57</v>
      </c>
      <c r="B4" s="86" t="s">
        <v>58</v>
      </c>
      <c r="C4" s="31">
        <f>'整備の現状、人口見通し'!E11</f>
        <v>14000</v>
      </c>
      <c r="D4" s="31">
        <f>'整備の現状、人口見通し'!F11</f>
        <v>13953</v>
      </c>
      <c r="E4" s="31">
        <f>'整備の現状、人口見通し'!G11</f>
        <v>13897</v>
      </c>
      <c r="F4" s="31">
        <f>'整備の現状、人口見通し'!H11</f>
        <v>13832</v>
      </c>
      <c r="G4" s="31">
        <f>'整備の現状、人口見通し'!I11</f>
        <v>13757</v>
      </c>
      <c r="H4" s="31">
        <f>'整備の現状、人口見通し'!J11</f>
        <v>13673</v>
      </c>
      <c r="I4" s="31">
        <f>'整備の現状、人口見通し'!K11</f>
        <v>13580</v>
      </c>
      <c r="J4" s="31">
        <f>'整備の現状、人口見通し'!L11</f>
        <v>13477</v>
      </c>
      <c r="K4" s="31">
        <f>'整備の現状、人口見通し'!M11</f>
        <v>13365</v>
      </c>
      <c r="L4" s="31">
        <f>'整備の現状、人口見通し'!N11</f>
        <v>13244</v>
      </c>
      <c r="M4" s="31">
        <f>'整備の現状、人口見通し'!O11</f>
        <v>13113</v>
      </c>
      <c r="N4" s="31">
        <f>'整備の現状、人口見通し'!P11</f>
        <v>12973</v>
      </c>
      <c r="O4" s="31">
        <f>'整備の現状、人口見通し'!Q11</f>
        <v>12824</v>
      </c>
      <c r="P4" s="31">
        <f>'整備の現状、人口見通し'!R11</f>
        <v>12665</v>
      </c>
      <c r="Q4" s="31">
        <f>'整備の現状、人口見通し'!S11</f>
        <v>12497</v>
      </c>
      <c r="R4" s="31">
        <f>'整備の現状、人口見通し'!T11</f>
        <v>12320</v>
      </c>
      <c r="S4" s="31">
        <f>'整備の現状、人口見通し'!U11</f>
        <v>12133</v>
      </c>
      <c r="T4" s="31">
        <f>'整備の現状、人口見通し'!V11</f>
        <v>11937</v>
      </c>
      <c r="U4" s="31">
        <f>'整備の現状、人口見通し'!W11</f>
        <v>11732</v>
      </c>
      <c r="V4" s="31">
        <f>'整備の現状、人口見通し'!X11</f>
        <v>11517</v>
      </c>
      <c r="W4" s="31">
        <f>'整備の現状、人口見通し'!Y11</f>
        <v>11293</v>
      </c>
      <c r="X4" s="31">
        <f>'整備の現状、人口見通し'!Z11</f>
        <v>11060</v>
      </c>
      <c r="Y4" s="31">
        <f>'整備の現状、人口見通し'!AA11</f>
        <v>10817</v>
      </c>
      <c r="Z4" s="31">
        <f>'整備の現状、人口見通し'!AB11</f>
        <v>10565</v>
      </c>
      <c r="AA4" s="31">
        <f>'整備の現状、人口見通し'!AC11</f>
        <v>10304</v>
      </c>
      <c r="AC4" s="69" t="s">
        <v>118</v>
      </c>
      <c r="AD4" s="69">
        <v>180</v>
      </c>
      <c r="AE4" t="s">
        <v>119</v>
      </c>
    </row>
    <row r="5" spans="1:31" ht="15" customHeight="1" x14ac:dyDescent="0.15">
      <c r="A5" s="239"/>
      <c r="B5" s="30" t="s">
        <v>223</v>
      </c>
      <c r="C5" s="31">
        <f>'整備の現状、人口見通し'!E12</f>
        <v>1500</v>
      </c>
      <c r="D5" s="31">
        <f>'整備の現状、人口見通し'!F12</f>
        <v>1495</v>
      </c>
      <c r="E5" s="31">
        <f>'整備の現状、人口見通し'!G12</f>
        <v>1489</v>
      </c>
      <c r="F5" s="31">
        <f>'整備の現状、人口見通し'!H12</f>
        <v>1482</v>
      </c>
      <c r="G5" s="31">
        <f>'整備の現状、人口見通し'!I12</f>
        <v>1474</v>
      </c>
      <c r="H5" s="31">
        <f>'整備の現状、人口見通し'!J12</f>
        <v>1465</v>
      </c>
      <c r="I5" s="31">
        <f>'整備の現状、人口見通し'!K12</f>
        <v>1455</v>
      </c>
      <c r="J5" s="31">
        <f>'整備の現状、人口見通し'!L12</f>
        <v>1444</v>
      </c>
      <c r="K5" s="31">
        <f>'整備の現状、人口見通し'!M12</f>
        <v>1432</v>
      </c>
      <c r="L5" s="31">
        <f>'整備の現状、人口見通し'!N12</f>
        <v>1419</v>
      </c>
      <c r="M5" s="31">
        <f>'整備の現状、人口見通し'!O12</f>
        <v>1405</v>
      </c>
      <c r="N5" s="31">
        <f>'整備の現状、人口見通し'!P12</f>
        <v>1390</v>
      </c>
      <c r="O5" s="31">
        <f>'整備の現状、人口見通し'!Q12</f>
        <v>1374</v>
      </c>
      <c r="P5" s="31">
        <f>'整備の現状、人口見通し'!R12</f>
        <v>1357</v>
      </c>
      <c r="Q5" s="31">
        <f>'整備の現状、人口見通し'!S12</f>
        <v>1339</v>
      </c>
      <c r="R5" s="31">
        <f>'整備の現状、人口見通し'!T12</f>
        <v>1320</v>
      </c>
      <c r="S5" s="31">
        <f>'整備の現状、人口見通し'!U12</f>
        <v>1300</v>
      </c>
      <c r="T5" s="31">
        <f>'整備の現状、人口見通し'!V12</f>
        <v>1279</v>
      </c>
      <c r="U5" s="31">
        <f>'整備の現状、人口見通し'!W12</f>
        <v>1257</v>
      </c>
      <c r="V5" s="31">
        <f>'整備の現状、人口見通し'!X12</f>
        <v>1234</v>
      </c>
      <c r="W5" s="31">
        <f>'整備の現状、人口見通し'!Y12</f>
        <v>1210</v>
      </c>
      <c r="X5" s="31">
        <f>'整備の現状、人口見通し'!Z12</f>
        <v>1185</v>
      </c>
      <c r="Y5" s="31">
        <f>'整備の現状、人口見通し'!AA12</f>
        <v>1159</v>
      </c>
      <c r="Z5" s="31">
        <f>'整備の現状、人口見通し'!AB12</f>
        <v>1132</v>
      </c>
      <c r="AA5" s="31">
        <f>'整備の現状、人口見通し'!AC12</f>
        <v>1104</v>
      </c>
      <c r="AC5" s="69" t="s">
        <v>120</v>
      </c>
      <c r="AD5" s="69">
        <v>95</v>
      </c>
      <c r="AE5" t="s">
        <v>36</v>
      </c>
    </row>
    <row r="6" spans="1:31" ht="15" customHeight="1" x14ac:dyDescent="0.15">
      <c r="A6" s="240" t="s">
        <v>171</v>
      </c>
      <c r="B6" s="33" t="s">
        <v>172</v>
      </c>
      <c r="C6" s="36">
        <f>流入水量!D4</f>
        <v>4060</v>
      </c>
      <c r="D6" s="36">
        <f>流入水量!E4</f>
        <v>4046.37</v>
      </c>
      <c r="E6" s="36">
        <f>流入水量!F4</f>
        <v>4030.13</v>
      </c>
      <c r="F6" s="36">
        <f>流入水量!G4</f>
        <v>4011.28</v>
      </c>
      <c r="G6" s="36">
        <f>流入水量!H4</f>
        <v>3989.53</v>
      </c>
      <c r="H6" s="36">
        <f>流入水量!I4</f>
        <v>3965.17</v>
      </c>
      <c r="I6" s="36">
        <f>流入水量!J4</f>
        <v>3938.2</v>
      </c>
      <c r="J6" s="36">
        <f>流入水量!K4</f>
        <v>3908.33</v>
      </c>
      <c r="K6" s="36">
        <f>流入水量!L4</f>
        <v>3875.85</v>
      </c>
      <c r="L6" s="36">
        <f>流入水量!M4</f>
        <v>3840.76</v>
      </c>
      <c r="M6" s="36">
        <f>流入水量!N4</f>
        <v>3802.77</v>
      </c>
      <c r="N6" s="36">
        <f>流入水量!O4</f>
        <v>3762.17</v>
      </c>
      <c r="O6" s="36">
        <f>流入水量!P4</f>
        <v>3718.96</v>
      </c>
      <c r="P6" s="36">
        <f>流入水量!Q4</f>
        <v>3672.85</v>
      </c>
      <c r="Q6" s="36">
        <f>流入水量!R4</f>
        <v>3624.13</v>
      </c>
      <c r="R6" s="36">
        <f>流入水量!S4</f>
        <v>3572.8</v>
      </c>
      <c r="S6" s="36">
        <f>流入水量!T4</f>
        <v>3518.57</v>
      </c>
      <c r="T6" s="36">
        <f>流入水量!U4</f>
        <v>3461.73</v>
      </c>
      <c r="U6" s="36">
        <f>流入水量!V4</f>
        <v>3402.28</v>
      </c>
      <c r="V6" s="36">
        <f>流入水量!W4</f>
        <v>3339.93</v>
      </c>
      <c r="W6" s="36">
        <f>流入水量!X4</f>
        <v>3274.97</v>
      </c>
      <c r="X6" s="36">
        <f>流入水量!Y4</f>
        <v>3207.4</v>
      </c>
      <c r="Y6" s="36">
        <f>流入水量!Z4</f>
        <v>3136.93</v>
      </c>
      <c r="Z6" s="36">
        <f>流入水量!AA4</f>
        <v>3063.85</v>
      </c>
      <c r="AA6" s="36">
        <f>流入水量!AB4</f>
        <v>2988.16</v>
      </c>
      <c r="AC6" s="69"/>
      <c r="AD6" s="69">
        <v>75</v>
      </c>
      <c r="AE6" t="s">
        <v>36</v>
      </c>
    </row>
    <row r="7" spans="1:31" ht="15" customHeight="1" x14ac:dyDescent="0.15">
      <c r="A7" s="241"/>
      <c r="B7" s="33" t="s">
        <v>173</v>
      </c>
      <c r="C7" s="36">
        <f>+C6/0.7</f>
        <v>5800</v>
      </c>
      <c r="D7" s="36">
        <f t="shared" ref="D7:Z7" si="0">+D6/0.7</f>
        <v>5780.5285714285719</v>
      </c>
      <c r="E7" s="36">
        <f t="shared" si="0"/>
        <v>5757.3285714285721</v>
      </c>
      <c r="F7" s="36">
        <f t="shared" si="0"/>
        <v>5730.4000000000005</v>
      </c>
      <c r="G7" s="36">
        <f t="shared" si="0"/>
        <v>5699.3285714285721</v>
      </c>
      <c r="H7" s="36">
        <f t="shared" si="0"/>
        <v>5664.5285714285719</v>
      </c>
      <c r="I7" s="36">
        <f t="shared" si="0"/>
        <v>5626</v>
      </c>
      <c r="J7" s="36">
        <f t="shared" si="0"/>
        <v>5583.3285714285721</v>
      </c>
      <c r="K7" s="36">
        <f t="shared" si="0"/>
        <v>5536.9285714285716</v>
      </c>
      <c r="L7" s="36">
        <f t="shared" si="0"/>
        <v>5486.8000000000011</v>
      </c>
      <c r="M7" s="36">
        <f t="shared" si="0"/>
        <v>5432.5285714285719</v>
      </c>
      <c r="N7" s="36">
        <f t="shared" si="0"/>
        <v>5374.5285714285719</v>
      </c>
      <c r="O7" s="36">
        <f t="shared" si="0"/>
        <v>5312.8</v>
      </c>
      <c r="P7" s="36">
        <f t="shared" si="0"/>
        <v>5246.9285714285716</v>
      </c>
      <c r="Q7" s="36">
        <f t="shared" si="0"/>
        <v>5177.3285714285721</v>
      </c>
      <c r="R7" s="36">
        <f t="shared" si="0"/>
        <v>5104.0000000000009</v>
      </c>
      <c r="S7" s="36">
        <f t="shared" si="0"/>
        <v>5026.5285714285719</v>
      </c>
      <c r="T7" s="36">
        <f t="shared" si="0"/>
        <v>4945.3285714285721</v>
      </c>
      <c r="U7" s="36">
        <f t="shared" si="0"/>
        <v>4860.4000000000005</v>
      </c>
      <c r="V7" s="36">
        <f t="shared" si="0"/>
        <v>4771.3285714285712</v>
      </c>
      <c r="W7" s="36">
        <f t="shared" si="0"/>
        <v>4678.528571428571</v>
      </c>
      <c r="X7" s="36">
        <f t="shared" si="0"/>
        <v>4582</v>
      </c>
      <c r="Y7" s="36">
        <f t="shared" si="0"/>
        <v>4481.3285714285712</v>
      </c>
      <c r="Z7" s="36">
        <f t="shared" si="0"/>
        <v>4376.9285714285716</v>
      </c>
      <c r="AA7" s="36">
        <f>+AA6/0.7</f>
        <v>4268.8</v>
      </c>
      <c r="AC7" s="69" t="s">
        <v>122</v>
      </c>
      <c r="AD7" s="69">
        <v>1</v>
      </c>
      <c r="AE7" t="s">
        <v>36</v>
      </c>
    </row>
    <row r="8" spans="1:31" ht="15" customHeight="1" x14ac:dyDescent="0.15">
      <c r="A8" s="241"/>
      <c r="B8" s="33" t="s">
        <v>222</v>
      </c>
      <c r="C8" s="36">
        <f>流入水量!D5</f>
        <v>405</v>
      </c>
      <c r="D8" s="36">
        <f>流入水量!E5</f>
        <v>403.65</v>
      </c>
      <c r="E8" s="36">
        <f>流入水量!F5</f>
        <v>402.03</v>
      </c>
      <c r="F8" s="36">
        <f>流入水量!G5</f>
        <v>400.14</v>
      </c>
      <c r="G8" s="36">
        <f>流入水量!H5</f>
        <v>397.98</v>
      </c>
      <c r="H8" s="36">
        <f>流入水量!I5</f>
        <v>395.55</v>
      </c>
      <c r="I8" s="36">
        <f>流入水量!J5</f>
        <v>392.85</v>
      </c>
      <c r="J8" s="36">
        <f>流入水量!K5</f>
        <v>389.88</v>
      </c>
      <c r="K8" s="36">
        <f>流入水量!L5</f>
        <v>386.64</v>
      </c>
      <c r="L8" s="36">
        <f>流入水量!M5</f>
        <v>383.13</v>
      </c>
      <c r="M8" s="36">
        <f>流入水量!N5</f>
        <v>379.35</v>
      </c>
      <c r="N8" s="36">
        <f>流入水量!O5</f>
        <v>375.3</v>
      </c>
      <c r="O8" s="36">
        <f>流入水量!P5</f>
        <v>370.98</v>
      </c>
      <c r="P8" s="36">
        <f>流入水量!Q5</f>
        <v>366.39</v>
      </c>
      <c r="Q8" s="36">
        <f>流入水量!R5</f>
        <v>361.53</v>
      </c>
      <c r="R8" s="36">
        <f>流入水量!S5</f>
        <v>356.4</v>
      </c>
      <c r="S8" s="36">
        <f>流入水量!T5</f>
        <v>351</v>
      </c>
      <c r="T8" s="36">
        <f>流入水量!U5</f>
        <v>345.33</v>
      </c>
      <c r="U8" s="36">
        <f>流入水量!V5</f>
        <v>339.39</v>
      </c>
      <c r="V8" s="36">
        <f>流入水量!W5</f>
        <v>333.18</v>
      </c>
      <c r="W8" s="36">
        <f>流入水量!X5</f>
        <v>326.7</v>
      </c>
      <c r="X8" s="36">
        <f>流入水量!Y5</f>
        <v>319.95</v>
      </c>
      <c r="Y8" s="36">
        <f>流入水量!Z5</f>
        <v>312.93</v>
      </c>
      <c r="Z8" s="36">
        <f>流入水量!AA5</f>
        <v>305.64</v>
      </c>
      <c r="AA8" s="36">
        <f>流入水量!AB5</f>
        <v>298.08</v>
      </c>
      <c r="AC8" s="69"/>
      <c r="AD8" s="69">
        <v>0.75</v>
      </c>
      <c r="AE8" t="s">
        <v>36</v>
      </c>
    </row>
    <row r="9" spans="1:31" ht="15" customHeight="1" x14ac:dyDescent="0.15">
      <c r="A9" s="241"/>
      <c r="B9" s="33" t="s">
        <v>224</v>
      </c>
      <c r="C9" s="36">
        <f>+C8/0.7</f>
        <v>578.57142857142856</v>
      </c>
      <c r="D9" s="36">
        <f t="shared" ref="D9" si="1">+D8/0.7</f>
        <v>576.64285714285711</v>
      </c>
      <c r="E9" s="36">
        <f t="shared" ref="E9" si="2">+E8/0.7</f>
        <v>574.32857142857142</v>
      </c>
      <c r="F9" s="36">
        <f t="shared" ref="F9" si="3">+F8/0.7</f>
        <v>571.62857142857149</v>
      </c>
      <c r="G9" s="36">
        <f t="shared" ref="G9" si="4">+G8/0.7</f>
        <v>568.5428571428572</v>
      </c>
      <c r="H9" s="36">
        <f t="shared" ref="H9" si="5">+H8/0.7</f>
        <v>565.07142857142867</v>
      </c>
      <c r="I9" s="36">
        <f t="shared" ref="I9" si="6">+I8/0.7</f>
        <v>561.21428571428578</v>
      </c>
      <c r="J9" s="36">
        <f t="shared" ref="J9" si="7">+J8/0.7</f>
        <v>556.97142857142865</v>
      </c>
      <c r="K9" s="36">
        <f t="shared" ref="K9" si="8">+K8/0.7</f>
        <v>552.34285714285716</v>
      </c>
      <c r="L9" s="36">
        <f t="shared" ref="L9" si="9">+L8/0.7</f>
        <v>547.32857142857142</v>
      </c>
      <c r="M9" s="36">
        <f t="shared" ref="M9" si="10">+M8/0.7</f>
        <v>541.92857142857144</v>
      </c>
      <c r="N9" s="36">
        <f t="shared" ref="N9" si="11">+N8/0.7</f>
        <v>536.14285714285722</v>
      </c>
      <c r="O9" s="36">
        <f t="shared" ref="O9" si="12">+O8/0.7</f>
        <v>529.97142857142865</v>
      </c>
      <c r="P9" s="36">
        <f t="shared" ref="P9" si="13">+P8/0.7</f>
        <v>523.41428571428571</v>
      </c>
      <c r="Q9" s="36">
        <f t="shared" ref="Q9" si="14">+Q8/0.7</f>
        <v>516.47142857142853</v>
      </c>
      <c r="R9" s="36">
        <f t="shared" ref="R9" si="15">+R8/0.7</f>
        <v>509.14285714285717</v>
      </c>
      <c r="S9" s="36">
        <f t="shared" ref="S9" si="16">+S8/0.7</f>
        <v>501.42857142857144</v>
      </c>
      <c r="T9" s="36">
        <f t="shared" ref="T9" si="17">+T8/0.7</f>
        <v>493.32857142857142</v>
      </c>
      <c r="U9" s="36">
        <f t="shared" ref="U9" si="18">+U8/0.7</f>
        <v>484.84285714285716</v>
      </c>
      <c r="V9" s="36">
        <f t="shared" ref="V9" si="19">+V8/0.7</f>
        <v>475.97142857142859</v>
      </c>
      <c r="W9" s="36">
        <f t="shared" ref="W9" si="20">+W8/0.7</f>
        <v>466.71428571428572</v>
      </c>
      <c r="X9" s="36">
        <f t="shared" ref="X9" si="21">+X8/0.7</f>
        <v>457.07142857142861</v>
      </c>
      <c r="Y9" s="36">
        <f t="shared" ref="Y9" si="22">+Y8/0.7</f>
        <v>447.0428571428572</v>
      </c>
      <c r="Z9" s="36">
        <f t="shared" ref="Z9" si="23">+Z8/0.7</f>
        <v>436.62857142857143</v>
      </c>
      <c r="AA9" s="36">
        <f>+AA8/0.7</f>
        <v>425.82857142857142</v>
      </c>
    </row>
    <row r="10" spans="1:31" ht="15" customHeight="1" x14ac:dyDescent="0.15">
      <c r="A10" s="234" t="s">
        <v>54</v>
      </c>
      <c r="B10" s="34" t="s">
        <v>59</v>
      </c>
      <c r="C10" s="35">
        <f>C6/処理能力と稼働率!$D7</f>
        <v>0.45111111111111113</v>
      </c>
      <c r="D10" s="35">
        <f>D6/処理能力と稼働率!$D7</f>
        <v>0.44959666666666664</v>
      </c>
      <c r="E10" s="35">
        <f>E6/処理能力と稼働率!$D7</f>
        <v>0.44779222222222226</v>
      </c>
      <c r="F10" s="35">
        <f>F6/処理能力と稼働率!$D7</f>
        <v>0.4456977777777778</v>
      </c>
      <c r="G10" s="35">
        <f>G6/処理能力と稼働率!$D7</f>
        <v>0.44328111111111113</v>
      </c>
      <c r="H10" s="35">
        <f>H6/処理能力と稼働率!$D7</f>
        <v>0.44057444444444444</v>
      </c>
      <c r="I10" s="35">
        <f>I6/処理能力と稼働率!$D7</f>
        <v>0.43757777777777773</v>
      </c>
      <c r="J10" s="35">
        <f>J6/処理能力と稼働率!$D7</f>
        <v>0.43425888888888886</v>
      </c>
      <c r="K10" s="35">
        <f>K6/処理能力と稼働率!$D7</f>
        <v>0.43064999999999998</v>
      </c>
      <c r="L10" s="35">
        <f>L6/処理能力と稼働率!$D7</f>
        <v>0.42675111111111114</v>
      </c>
      <c r="M10" s="35">
        <f>M6/処理能力と稼働率!$D7</f>
        <v>0.42253000000000002</v>
      </c>
      <c r="N10" s="35">
        <f>N6/処理能力と稼働率!$D7</f>
        <v>0.41801888888888888</v>
      </c>
      <c r="O10" s="35">
        <f>O6/処理能力と稼働率!$D7</f>
        <v>0.41321777777777779</v>
      </c>
      <c r="P10" s="35">
        <f>P6/処理能力と稼働率!$D7</f>
        <v>0.40809444444444443</v>
      </c>
      <c r="Q10" s="35">
        <f>Q6/処理能力と稼働率!$D7</f>
        <v>0.4026811111111111</v>
      </c>
      <c r="R10" s="35">
        <f>R6/処理能力と稼働率!$D7</f>
        <v>0.39697777777777782</v>
      </c>
      <c r="S10" s="35">
        <f>S6/処理能力と稼働率!$D7</f>
        <v>0.39095222222222226</v>
      </c>
      <c r="T10" s="35">
        <f>T6/処理能力と稼働率!$D7</f>
        <v>0.38463666666666668</v>
      </c>
      <c r="U10" s="35">
        <f>U6/処理能力と稼働率!$D7</f>
        <v>0.37803111111111115</v>
      </c>
      <c r="V10" s="35">
        <f>V6/処理能力と稼働率!$D7</f>
        <v>0.37110333333333334</v>
      </c>
      <c r="W10" s="35">
        <f>W6/処理能力と稼働率!$D7</f>
        <v>0.36388555555555552</v>
      </c>
      <c r="X10" s="35">
        <f>X6/処理能力と稼働率!$D7</f>
        <v>0.35637777777777779</v>
      </c>
      <c r="Y10" s="35">
        <f>Y6/処理能力と稼働率!$D7</f>
        <v>0.34854777777777773</v>
      </c>
      <c r="Z10" s="35">
        <f>Z6/処理能力と稼働率!$D7</f>
        <v>0.34042777777777777</v>
      </c>
      <c r="AA10" s="35">
        <f>AA6/処理能力と稼働率!$D7</f>
        <v>0.33201777777777775</v>
      </c>
    </row>
    <row r="11" spans="1:31" ht="15" customHeight="1" x14ac:dyDescent="0.15">
      <c r="A11" s="235"/>
      <c r="B11" s="175" t="s">
        <v>60</v>
      </c>
      <c r="C11" s="35">
        <f>C8/処理能力と稼働率!D8</f>
        <v>0.50624999999999998</v>
      </c>
      <c r="D11" s="35">
        <f>D8/処理能力と稼働率!D8</f>
        <v>0.50456250000000002</v>
      </c>
      <c r="E11" s="35">
        <f>E8/処理能力と稼働率!D8</f>
        <v>0.50253749999999997</v>
      </c>
      <c r="F11" s="35">
        <f>F8/処理能力と稼働率!D8</f>
        <v>0.50017500000000004</v>
      </c>
      <c r="G11" s="35">
        <f>G8/処理能力と稼働率!D8</f>
        <v>0.497475</v>
      </c>
      <c r="H11" s="35">
        <f>H8/処理能力と稼働率!D8</f>
        <v>0.49443750000000003</v>
      </c>
      <c r="I11" s="35">
        <f>I8/処理能力と稼働率!D8</f>
        <v>0.49106250000000001</v>
      </c>
      <c r="J11" s="35">
        <f>J8/処理能力と稼働率!D8</f>
        <v>0.48735000000000001</v>
      </c>
      <c r="K11" s="35">
        <f>K8/処理能力と稼働率!D8</f>
        <v>0.48330000000000001</v>
      </c>
      <c r="L11" s="35">
        <f>L8/処理能力と稼働率!D8</f>
        <v>0.47891250000000002</v>
      </c>
      <c r="M11" s="35">
        <f>M8/処理能力と稼働率!D8</f>
        <v>0.47418750000000004</v>
      </c>
      <c r="N11" s="35">
        <f>N8/処理能力と稼働率!D8</f>
        <v>0.46912500000000001</v>
      </c>
      <c r="O11" s="35">
        <f>O8/処理能力と稼働率!D8</f>
        <v>0.463725</v>
      </c>
      <c r="P11" s="35">
        <f>P8/処理能力と稼働率!D8</f>
        <v>0.45798749999999999</v>
      </c>
      <c r="Q11" s="35">
        <f>Q8/処理能力と稼働率!D8</f>
        <v>0.45191249999999994</v>
      </c>
      <c r="R11" s="35">
        <f>R8/処理能力と稼働率!D8</f>
        <v>0.44549999999999995</v>
      </c>
      <c r="S11" s="35">
        <f>S8/処理能力と稼働率!D8</f>
        <v>0.43874999999999997</v>
      </c>
      <c r="T11" s="35">
        <f>T8/処理能力と稼働率!D8</f>
        <v>0.4316625</v>
      </c>
      <c r="U11" s="35">
        <f>U8/処理能力と稼働率!D8</f>
        <v>0.42423749999999999</v>
      </c>
      <c r="V11" s="35">
        <f>V8/処理能力と稼働率!D8</f>
        <v>0.41647499999999998</v>
      </c>
      <c r="W11" s="35">
        <f>W8/処理能力と稼働率!D8</f>
        <v>0.40837499999999999</v>
      </c>
      <c r="X11" s="35">
        <f>X8/処理能力と稼働率!D8</f>
        <v>0.3999375</v>
      </c>
      <c r="Y11" s="35">
        <f>Y8/処理能力と稼働率!D8</f>
        <v>0.39116250000000002</v>
      </c>
      <c r="Z11" s="35">
        <f>Z8/処理能力と稼働率!D8</f>
        <v>0.38205</v>
      </c>
      <c r="AA11" s="35">
        <f>AA8/処理能力と稼働率!D8</f>
        <v>0.37259999999999999</v>
      </c>
      <c r="AC11" s="69" t="s">
        <v>121</v>
      </c>
      <c r="AD11" s="69">
        <v>100</v>
      </c>
      <c r="AE11" t="s">
        <v>36</v>
      </c>
    </row>
    <row r="12" spans="1:31" ht="15" customHeight="1" x14ac:dyDescent="0.15">
      <c r="A12" s="229" t="s">
        <v>244</v>
      </c>
      <c r="B12" s="177" t="s">
        <v>240</v>
      </c>
      <c r="C12" s="179">
        <f>ROUND(C6*$AD$4*10^-6*$AD$5/100*$AD$11/100/($AD$7/100),0)</f>
        <v>69</v>
      </c>
      <c r="D12" s="179">
        <f t="shared" ref="D12:AA12" si="24">ROUND(D6*$AD$4*10^-6*$AD$5/100*$AD$11/100/($AD$7/100),0)</f>
        <v>69</v>
      </c>
      <c r="E12" s="179">
        <f t="shared" si="24"/>
        <v>69</v>
      </c>
      <c r="F12" s="179">
        <f t="shared" si="24"/>
        <v>69</v>
      </c>
      <c r="G12" s="179">
        <f t="shared" si="24"/>
        <v>68</v>
      </c>
      <c r="H12" s="179">
        <f t="shared" si="24"/>
        <v>68</v>
      </c>
      <c r="I12" s="179">
        <f t="shared" si="24"/>
        <v>67</v>
      </c>
      <c r="J12" s="179">
        <f t="shared" si="24"/>
        <v>67</v>
      </c>
      <c r="K12" s="179">
        <f t="shared" si="24"/>
        <v>66</v>
      </c>
      <c r="L12" s="179">
        <f t="shared" si="24"/>
        <v>66</v>
      </c>
      <c r="M12" s="179">
        <f t="shared" si="24"/>
        <v>65</v>
      </c>
      <c r="N12" s="179">
        <f t="shared" si="24"/>
        <v>64</v>
      </c>
      <c r="O12" s="179">
        <f t="shared" si="24"/>
        <v>64</v>
      </c>
      <c r="P12" s="179">
        <f t="shared" si="24"/>
        <v>63</v>
      </c>
      <c r="Q12" s="179">
        <f t="shared" si="24"/>
        <v>62</v>
      </c>
      <c r="R12" s="179">
        <f t="shared" si="24"/>
        <v>61</v>
      </c>
      <c r="S12" s="179">
        <f t="shared" si="24"/>
        <v>60</v>
      </c>
      <c r="T12" s="179">
        <f t="shared" si="24"/>
        <v>59</v>
      </c>
      <c r="U12" s="179">
        <f t="shared" si="24"/>
        <v>58</v>
      </c>
      <c r="V12" s="179">
        <f t="shared" si="24"/>
        <v>57</v>
      </c>
      <c r="W12" s="179">
        <f t="shared" si="24"/>
        <v>56</v>
      </c>
      <c r="X12" s="179">
        <f t="shared" si="24"/>
        <v>55</v>
      </c>
      <c r="Y12" s="179">
        <f t="shared" si="24"/>
        <v>54</v>
      </c>
      <c r="Z12" s="179">
        <f t="shared" si="24"/>
        <v>52</v>
      </c>
      <c r="AA12" s="179">
        <f t="shared" si="24"/>
        <v>51</v>
      </c>
    </row>
    <row r="13" spans="1:31" ht="15" customHeight="1" x14ac:dyDescent="0.15">
      <c r="A13" s="230"/>
      <c r="B13" s="177" t="s">
        <v>241</v>
      </c>
      <c r="C13" s="179">
        <f>ROUND(C7*$AD$4*10^-6*$AD$5/100*$AD$11/100/($AD$7/100),0)</f>
        <v>99</v>
      </c>
      <c r="D13" s="179">
        <f t="shared" ref="D13:AA13" si="25">ROUND(D7*$AD$4*10^-6*$AD$5/100*$AD$11/100/($AD$7/100),0)</f>
        <v>99</v>
      </c>
      <c r="E13" s="179">
        <f t="shared" si="25"/>
        <v>98</v>
      </c>
      <c r="F13" s="179">
        <f t="shared" si="25"/>
        <v>98</v>
      </c>
      <c r="G13" s="179">
        <f t="shared" si="25"/>
        <v>97</v>
      </c>
      <c r="H13" s="179">
        <f t="shared" si="25"/>
        <v>97</v>
      </c>
      <c r="I13" s="179">
        <f t="shared" si="25"/>
        <v>96</v>
      </c>
      <c r="J13" s="179">
        <f t="shared" si="25"/>
        <v>95</v>
      </c>
      <c r="K13" s="179">
        <f t="shared" si="25"/>
        <v>95</v>
      </c>
      <c r="L13" s="179">
        <f t="shared" si="25"/>
        <v>94</v>
      </c>
      <c r="M13" s="179">
        <f t="shared" si="25"/>
        <v>93</v>
      </c>
      <c r="N13" s="179">
        <f t="shared" si="25"/>
        <v>92</v>
      </c>
      <c r="O13" s="179">
        <f t="shared" si="25"/>
        <v>91</v>
      </c>
      <c r="P13" s="179">
        <f t="shared" si="25"/>
        <v>90</v>
      </c>
      <c r="Q13" s="179">
        <f t="shared" si="25"/>
        <v>89</v>
      </c>
      <c r="R13" s="179">
        <f t="shared" si="25"/>
        <v>87</v>
      </c>
      <c r="S13" s="179">
        <f t="shared" si="25"/>
        <v>86</v>
      </c>
      <c r="T13" s="179">
        <f t="shared" si="25"/>
        <v>85</v>
      </c>
      <c r="U13" s="179">
        <f t="shared" si="25"/>
        <v>83</v>
      </c>
      <c r="V13" s="179">
        <f t="shared" si="25"/>
        <v>82</v>
      </c>
      <c r="W13" s="179">
        <f t="shared" si="25"/>
        <v>80</v>
      </c>
      <c r="X13" s="179">
        <f t="shared" si="25"/>
        <v>78</v>
      </c>
      <c r="Y13" s="179">
        <f t="shared" si="25"/>
        <v>77</v>
      </c>
      <c r="Z13" s="179">
        <f t="shared" si="25"/>
        <v>75</v>
      </c>
      <c r="AA13" s="179">
        <f t="shared" si="25"/>
        <v>73</v>
      </c>
    </row>
    <row r="14" spans="1:31" ht="15" customHeight="1" x14ac:dyDescent="0.15">
      <c r="A14" s="230"/>
      <c r="B14" s="177" t="s">
        <v>242</v>
      </c>
      <c r="C14" s="179">
        <f>ROUND(C8*$AD$4*10^-6*$AD$6/100*$AD$11/100/($AD$7/100),0)</f>
        <v>5</v>
      </c>
      <c r="D14" s="179">
        <f t="shared" ref="D14:AA14" si="26">ROUND(D8*$AD$4*10^-6*$AD$6/100*$AD$11/100/($AD$7/100),0)</f>
        <v>5</v>
      </c>
      <c r="E14" s="179">
        <f t="shared" si="26"/>
        <v>5</v>
      </c>
      <c r="F14" s="179">
        <f t="shared" si="26"/>
        <v>5</v>
      </c>
      <c r="G14" s="179">
        <f t="shared" si="26"/>
        <v>5</v>
      </c>
      <c r="H14" s="179">
        <f t="shared" si="26"/>
        <v>5</v>
      </c>
      <c r="I14" s="179">
        <f t="shared" si="26"/>
        <v>5</v>
      </c>
      <c r="J14" s="179">
        <f t="shared" si="26"/>
        <v>5</v>
      </c>
      <c r="K14" s="179">
        <f t="shared" si="26"/>
        <v>5</v>
      </c>
      <c r="L14" s="179">
        <f t="shared" si="26"/>
        <v>5</v>
      </c>
      <c r="M14" s="179">
        <f t="shared" si="26"/>
        <v>5</v>
      </c>
      <c r="N14" s="179">
        <f t="shared" si="26"/>
        <v>5</v>
      </c>
      <c r="O14" s="179">
        <f t="shared" si="26"/>
        <v>5</v>
      </c>
      <c r="P14" s="179">
        <f t="shared" si="26"/>
        <v>5</v>
      </c>
      <c r="Q14" s="179">
        <f t="shared" si="26"/>
        <v>5</v>
      </c>
      <c r="R14" s="179">
        <f t="shared" si="26"/>
        <v>5</v>
      </c>
      <c r="S14" s="179">
        <f t="shared" si="26"/>
        <v>5</v>
      </c>
      <c r="T14" s="179">
        <f t="shared" si="26"/>
        <v>5</v>
      </c>
      <c r="U14" s="179">
        <f t="shared" si="26"/>
        <v>5</v>
      </c>
      <c r="V14" s="179">
        <f t="shared" si="26"/>
        <v>4</v>
      </c>
      <c r="W14" s="179">
        <f t="shared" si="26"/>
        <v>4</v>
      </c>
      <c r="X14" s="179">
        <f t="shared" si="26"/>
        <v>4</v>
      </c>
      <c r="Y14" s="179">
        <f t="shared" si="26"/>
        <v>4</v>
      </c>
      <c r="Z14" s="179">
        <f t="shared" si="26"/>
        <v>4</v>
      </c>
      <c r="AA14" s="179">
        <f t="shared" si="26"/>
        <v>4</v>
      </c>
    </row>
    <row r="15" spans="1:31" ht="15" customHeight="1" x14ac:dyDescent="0.15">
      <c r="A15" s="231"/>
      <c r="B15" s="177" t="s">
        <v>243</v>
      </c>
      <c r="C15" s="179">
        <f>ROUND(C9*$AD$4*10^-6*$AD$6/100*$AD$11/100/($AD$7/100),0)</f>
        <v>8</v>
      </c>
      <c r="D15" s="179">
        <f t="shared" ref="D15:AA15" si="27">ROUND(D9*$AD$4*10^-6*$AD$6/100*$AD$11/100/($AD$7/100),0)</f>
        <v>8</v>
      </c>
      <c r="E15" s="179">
        <f t="shared" si="27"/>
        <v>8</v>
      </c>
      <c r="F15" s="179">
        <f t="shared" si="27"/>
        <v>8</v>
      </c>
      <c r="G15" s="179">
        <f t="shared" si="27"/>
        <v>8</v>
      </c>
      <c r="H15" s="179">
        <f t="shared" si="27"/>
        <v>8</v>
      </c>
      <c r="I15" s="179">
        <f t="shared" si="27"/>
        <v>8</v>
      </c>
      <c r="J15" s="179">
        <f t="shared" si="27"/>
        <v>8</v>
      </c>
      <c r="K15" s="179">
        <f t="shared" si="27"/>
        <v>7</v>
      </c>
      <c r="L15" s="179">
        <f t="shared" si="27"/>
        <v>7</v>
      </c>
      <c r="M15" s="179">
        <f t="shared" si="27"/>
        <v>7</v>
      </c>
      <c r="N15" s="179">
        <f t="shared" si="27"/>
        <v>7</v>
      </c>
      <c r="O15" s="179">
        <f t="shared" si="27"/>
        <v>7</v>
      </c>
      <c r="P15" s="179">
        <f t="shared" si="27"/>
        <v>7</v>
      </c>
      <c r="Q15" s="179">
        <f t="shared" si="27"/>
        <v>7</v>
      </c>
      <c r="R15" s="179">
        <f t="shared" si="27"/>
        <v>7</v>
      </c>
      <c r="S15" s="179">
        <f t="shared" si="27"/>
        <v>7</v>
      </c>
      <c r="T15" s="179">
        <f t="shared" si="27"/>
        <v>7</v>
      </c>
      <c r="U15" s="179">
        <f t="shared" si="27"/>
        <v>7</v>
      </c>
      <c r="V15" s="179">
        <f t="shared" si="27"/>
        <v>6</v>
      </c>
      <c r="W15" s="179">
        <f t="shared" si="27"/>
        <v>6</v>
      </c>
      <c r="X15" s="179">
        <f t="shared" si="27"/>
        <v>6</v>
      </c>
      <c r="Y15" s="179">
        <f t="shared" si="27"/>
        <v>6</v>
      </c>
      <c r="Z15" s="179">
        <f t="shared" si="27"/>
        <v>6</v>
      </c>
      <c r="AA15" s="179">
        <f t="shared" si="27"/>
        <v>6</v>
      </c>
    </row>
  </sheetData>
  <mergeCells count="6">
    <mergeCell ref="A12:A15"/>
    <mergeCell ref="A2:B2"/>
    <mergeCell ref="A10:A11"/>
    <mergeCell ref="A3:B3"/>
    <mergeCell ref="A4:A5"/>
    <mergeCell ref="A6:A9"/>
  </mergeCells>
  <phoneticPr fontId="1"/>
  <pageMargins left="0.7" right="0.7" top="0.75" bottom="0.75" header="0.3" footer="0.3"/>
  <pageSetup paperSize="9" orientation="portrait" r:id="rId1"/>
  <ignoredErrors>
    <ignoredError sqref="C8:AA8" 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H150"/>
  <sheetViews>
    <sheetView showGridLines="0" view="pageBreakPreview" zoomScale="70" zoomScaleNormal="85" zoomScaleSheetLayoutView="70" workbookViewId="0">
      <selection activeCell="D172" sqref="D172"/>
    </sheetView>
  </sheetViews>
  <sheetFormatPr defaultRowHeight="13.5" outlineLevelRow="1" outlineLevelCol="1" x14ac:dyDescent="0.15"/>
  <cols>
    <col min="1" max="1" width="12.375" bestFit="1" customWidth="1"/>
    <col min="2" max="2" width="23.25" customWidth="1"/>
    <col min="3" max="3" width="9" customWidth="1"/>
    <col min="4" max="4" width="15.625" customWidth="1"/>
    <col min="5" max="8" width="7.625" customWidth="1"/>
    <col min="9" max="13" width="7.625" customWidth="1" outlineLevel="1"/>
    <col min="14" max="29" width="7.625" customWidth="1"/>
    <col min="30" max="30" width="8.875" customWidth="1"/>
    <col min="31" max="32" width="5.875" customWidth="1"/>
    <col min="33" max="33" width="7.75" bestFit="1" customWidth="1"/>
    <col min="34" max="34" width="9.125" bestFit="1" customWidth="1"/>
  </cols>
  <sheetData>
    <row r="3" spans="1:30" ht="25.5" customHeight="1" x14ac:dyDescent="0.15">
      <c r="A3" s="214" t="s">
        <v>76</v>
      </c>
      <c r="B3" s="214" t="s">
        <v>77</v>
      </c>
      <c r="C3" s="216" t="s">
        <v>175</v>
      </c>
      <c r="D3" s="216" t="s">
        <v>176</v>
      </c>
      <c r="E3" s="216" t="s">
        <v>55</v>
      </c>
      <c r="F3" s="216"/>
      <c r="G3" s="216"/>
      <c r="H3" s="216" t="s">
        <v>82</v>
      </c>
      <c r="I3" s="216"/>
      <c r="J3" s="273" t="s">
        <v>109</v>
      </c>
      <c r="K3" s="273" t="s">
        <v>110</v>
      </c>
      <c r="L3" s="273" t="s">
        <v>111</v>
      </c>
      <c r="M3" s="273" t="s">
        <v>112</v>
      </c>
      <c r="N3" s="214" t="s">
        <v>227</v>
      </c>
      <c r="O3" s="214"/>
      <c r="P3" s="67" t="s">
        <v>181</v>
      </c>
      <c r="Q3" s="67" t="s">
        <v>181</v>
      </c>
      <c r="R3" s="216" t="s">
        <v>117</v>
      </c>
      <c r="S3" s="277" t="s">
        <v>184</v>
      </c>
      <c r="T3" s="216" t="s">
        <v>123</v>
      </c>
      <c r="U3" s="216"/>
      <c r="V3" s="216" t="s">
        <v>124</v>
      </c>
      <c r="W3" s="216"/>
      <c r="X3" s="216" t="s">
        <v>125</v>
      </c>
      <c r="Y3" s="216"/>
    </row>
    <row r="4" spans="1:30" ht="25.5" customHeight="1" x14ac:dyDescent="0.15">
      <c r="A4" s="214"/>
      <c r="B4" s="214"/>
      <c r="C4" s="214"/>
      <c r="D4" s="228"/>
      <c r="E4" s="52" t="s">
        <v>81</v>
      </c>
      <c r="F4" s="52" t="s">
        <v>100</v>
      </c>
      <c r="G4" s="3" t="s">
        <v>101</v>
      </c>
      <c r="H4" s="52" t="s">
        <v>83</v>
      </c>
      <c r="I4" s="47" t="s">
        <v>84</v>
      </c>
      <c r="J4" s="273"/>
      <c r="K4" s="273"/>
      <c r="L4" s="273"/>
      <c r="M4" s="273"/>
      <c r="N4" s="57" t="s">
        <v>83</v>
      </c>
      <c r="O4" s="47" t="s">
        <v>84</v>
      </c>
      <c r="P4" s="92" t="s">
        <v>179</v>
      </c>
      <c r="Q4" s="68" t="s">
        <v>180</v>
      </c>
      <c r="R4" s="214"/>
      <c r="S4" s="278"/>
      <c r="T4" s="60" t="s">
        <v>83</v>
      </c>
      <c r="U4" s="47" t="s">
        <v>84</v>
      </c>
      <c r="V4" s="60" t="s">
        <v>83</v>
      </c>
      <c r="W4" s="47" t="s">
        <v>84</v>
      </c>
      <c r="X4" s="60" t="s">
        <v>83</v>
      </c>
      <c r="Y4" s="47" t="s">
        <v>84</v>
      </c>
    </row>
    <row r="5" spans="1:30" x14ac:dyDescent="0.15">
      <c r="A5" s="43" t="s">
        <v>75</v>
      </c>
      <c r="B5" s="43" t="s">
        <v>78</v>
      </c>
      <c r="C5" s="13">
        <f>維持管理費等!D11</f>
        <v>75</v>
      </c>
      <c r="D5" s="13">
        <f>ROUND(1000*(2468*P11^0.382)/(P13*365),0)</f>
        <v>48</v>
      </c>
      <c r="E5" s="4">
        <f>処理能力と稼働率!D7</f>
        <v>9000</v>
      </c>
      <c r="F5" s="4">
        <f>ROUNDUP(P13/0.7*2,-3)/2</f>
        <v>5500</v>
      </c>
      <c r="G5" s="4">
        <f>ROUNDUP((P68)/0.7,-3)</f>
        <v>6000</v>
      </c>
      <c r="H5" s="4">
        <v>72734</v>
      </c>
      <c r="I5" s="3">
        <v>0.26</v>
      </c>
      <c r="J5" s="97">
        <v>9.1999999999999993</v>
      </c>
      <c r="K5" s="98">
        <v>0.22</v>
      </c>
      <c r="L5" s="96">
        <v>6.3E-2</v>
      </c>
      <c r="M5" s="99">
        <v>60</v>
      </c>
      <c r="N5" s="59">
        <v>63.405999999999999</v>
      </c>
      <c r="O5" s="59">
        <v>-0.97699999999999998</v>
      </c>
      <c r="P5" s="3">
        <f>$N$5*(E16*100)^$O$5</f>
        <v>1.5342472491364942</v>
      </c>
      <c r="Q5" s="3">
        <f>$N$5*(P16*100)^$O$5</f>
        <v>1.0215541009517286</v>
      </c>
      <c r="R5" s="59">
        <v>0.51</v>
      </c>
      <c r="S5" s="70">
        <v>0.49</v>
      </c>
      <c r="T5" s="71">
        <v>978</v>
      </c>
      <c r="U5" s="58">
        <v>0.59</v>
      </c>
      <c r="V5" s="66">
        <v>112140</v>
      </c>
      <c r="W5" s="58">
        <v>0.26</v>
      </c>
      <c r="X5" s="66">
        <v>125019</v>
      </c>
      <c r="Y5" s="58">
        <v>0.04</v>
      </c>
    </row>
    <row r="6" spans="1:30" x14ac:dyDescent="0.15">
      <c r="A6" s="42" t="s">
        <v>225</v>
      </c>
      <c r="B6" s="42" t="s">
        <v>226</v>
      </c>
      <c r="C6" s="4">
        <f>維持管理費等!D12</f>
        <v>180</v>
      </c>
      <c r="D6" s="4">
        <f>1000*(37.811*J15^0.6835)/(J14*365)</f>
        <v>38.192134104964509</v>
      </c>
      <c r="E6" s="4">
        <f>処理能力と稼働率!D8</f>
        <v>800</v>
      </c>
      <c r="F6" s="4">
        <f>ROUNDUP(J14,-2)</f>
        <v>400</v>
      </c>
      <c r="G6" s="4"/>
      <c r="H6" s="157">
        <v>2271.1999999999998</v>
      </c>
      <c r="I6" s="158">
        <v>0.6663</v>
      </c>
      <c r="J6" s="100">
        <v>20</v>
      </c>
      <c r="K6" s="100">
        <f>+J6</f>
        <v>20</v>
      </c>
      <c r="L6" s="100">
        <v>10000</v>
      </c>
      <c r="M6" s="100">
        <f>+L6</f>
        <v>10000</v>
      </c>
      <c r="N6" s="59">
        <v>66.057000000000002</v>
      </c>
      <c r="O6" s="59">
        <v>-0.91</v>
      </c>
      <c r="P6" s="3">
        <f>$N$6*(E17*100)^$O$6</f>
        <v>1.8575763075237233</v>
      </c>
      <c r="Q6" s="3">
        <f>$N$6*(J17*100)^$O$6</f>
        <v>1.0100437239487654</v>
      </c>
      <c r="R6" s="21">
        <v>0.51</v>
      </c>
      <c r="S6" s="70">
        <v>0.49</v>
      </c>
      <c r="T6" s="4">
        <v>1580</v>
      </c>
      <c r="U6" s="58">
        <v>0.66</v>
      </c>
      <c r="V6" s="66">
        <v>112140</v>
      </c>
      <c r="W6" s="58">
        <v>0.26</v>
      </c>
      <c r="X6" s="66">
        <v>125019</v>
      </c>
      <c r="Y6" s="58">
        <v>0.04</v>
      </c>
    </row>
    <row r="8" spans="1:30" s="53" customFormat="1" ht="18.75" x14ac:dyDescent="0.15">
      <c r="F8" s="54" t="s">
        <v>97</v>
      </c>
    </row>
    <row r="10" spans="1:30" ht="15.95" customHeight="1" x14ac:dyDescent="0.15">
      <c r="B10" s="42" t="s">
        <v>63</v>
      </c>
      <c r="C10" s="42" t="s">
        <v>1</v>
      </c>
      <c r="D10" s="42" t="s">
        <v>79</v>
      </c>
      <c r="E10" s="2">
        <v>1</v>
      </c>
      <c r="F10" s="2">
        <v>2</v>
      </c>
      <c r="G10" s="2">
        <v>3</v>
      </c>
      <c r="H10" s="2">
        <v>4</v>
      </c>
      <c r="I10" s="2">
        <v>5</v>
      </c>
      <c r="J10" s="2">
        <v>6</v>
      </c>
      <c r="K10" s="2">
        <v>7</v>
      </c>
      <c r="L10" s="2">
        <v>8</v>
      </c>
      <c r="M10" s="2">
        <v>9</v>
      </c>
      <c r="N10" s="2">
        <v>10</v>
      </c>
      <c r="O10" s="2">
        <v>11</v>
      </c>
      <c r="P10" s="2">
        <v>12</v>
      </c>
      <c r="Q10" s="2">
        <v>13</v>
      </c>
      <c r="R10" s="2">
        <v>14</v>
      </c>
      <c r="S10" s="2">
        <v>15</v>
      </c>
      <c r="T10" s="2">
        <v>16</v>
      </c>
      <c r="U10" s="2">
        <v>17</v>
      </c>
      <c r="V10" s="2">
        <v>18</v>
      </c>
      <c r="W10" s="2">
        <v>19</v>
      </c>
      <c r="X10" s="2">
        <v>20</v>
      </c>
      <c r="Y10" s="2">
        <v>21</v>
      </c>
      <c r="Z10" s="2">
        <v>22</v>
      </c>
      <c r="AA10" s="2">
        <v>23</v>
      </c>
      <c r="AB10" s="2">
        <v>24</v>
      </c>
      <c r="AC10" s="2">
        <v>25</v>
      </c>
      <c r="AD10" s="42" t="s">
        <v>85</v>
      </c>
    </row>
    <row r="11" spans="1:30" ht="15.95" customHeight="1" x14ac:dyDescent="0.15">
      <c r="B11" s="271" t="s">
        <v>88</v>
      </c>
      <c r="C11" s="214" t="s">
        <v>159</v>
      </c>
      <c r="D11" s="42" t="s">
        <v>75</v>
      </c>
      <c r="E11" s="101">
        <f t="shared" ref="E11:O11" si="0">$E$5</f>
        <v>9000</v>
      </c>
      <c r="F11" s="2">
        <f t="shared" si="0"/>
        <v>9000</v>
      </c>
      <c r="G11" s="2">
        <f t="shared" si="0"/>
        <v>9000</v>
      </c>
      <c r="H11" s="2">
        <f t="shared" si="0"/>
        <v>9000</v>
      </c>
      <c r="I11" s="2">
        <f t="shared" si="0"/>
        <v>9000</v>
      </c>
      <c r="J11" s="2">
        <f t="shared" si="0"/>
        <v>9000</v>
      </c>
      <c r="K11" s="2">
        <f t="shared" si="0"/>
        <v>9000</v>
      </c>
      <c r="L11" s="2">
        <f t="shared" si="0"/>
        <v>9000</v>
      </c>
      <c r="M11" s="2">
        <f t="shared" si="0"/>
        <v>9000</v>
      </c>
      <c r="N11" s="2">
        <f t="shared" si="0"/>
        <v>9000</v>
      </c>
      <c r="O11" s="2">
        <f t="shared" si="0"/>
        <v>9000</v>
      </c>
      <c r="P11" s="90">
        <f t="shared" ref="P11:AC11" si="1">$F$5</f>
        <v>5500</v>
      </c>
      <c r="Q11" s="2">
        <f t="shared" si="1"/>
        <v>5500</v>
      </c>
      <c r="R11" s="2">
        <f t="shared" si="1"/>
        <v>5500</v>
      </c>
      <c r="S11" s="2">
        <f t="shared" si="1"/>
        <v>5500</v>
      </c>
      <c r="T11" s="2">
        <f t="shared" si="1"/>
        <v>5500</v>
      </c>
      <c r="U11" s="2">
        <f t="shared" si="1"/>
        <v>5500</v>
      </c>
      <c r="V11" s="2">
        <f t="shared" si="1"/>
        <v>5500</v>
      </c>
      <c r="W11" s="2">
        <f t="shared" si="1"/>
        <v>5500</v>
      </c>
      <c r="X11" s="2">
        <f t="shared" si="1"/>
        <v>5500</v>
      </c>
      <c r="Y11" s="2">
        <f t="shared" si="1"/>
        <v>5500</v>
      </c>
      <c r="Z11" s="2">
        <f t="shared" si="1"/>
        <v>5500</v>
      </c>
      <c r="AA11" s="2">
        <f t="shared" si="1"/>
        <v>5500</v>
      </c>
      <c r="AB11" s="2">
        <f t="shared" si="1"/>
        <v>5500</v>
      </c>
      <c r="AC11" s="2">
        <f t="shared" si="1"/>
        <v>5500</v>
      </c>
      <c r="AD11" s="42" t="s">
        <v>86</v>
      </c>
    </row>
    <row r="12" spans="1:30" ht="15.95" customHeight="1" x14ac:dyDescent="0.15">
      <c r="B12" s="271"/>
      <c r="C12" s="214"/>
      <c r="D12" s="156" t="s">
        <v>53</v>
      </c>
      <c r="E12" s="2">
        <f>$E$6</f>
        <v>800</v>
      </c>
      <c r="F12" s="2">
        <f>$E$6</f>
        <v>800</v>
      </c>
      <c r="G12" s="2">
        <f>$E$6</f>
        <v>800</v>
      </c>
      <c r="H12" s="2">
        <f>$E$6</f>
        <v>800</v>
      </c>
      <c r="I12" s="2">
        <f>$E$6</f>
        <v>800</v>
      </c>
      <c r="J12" s="90">
        <f t="shared" ref="J12:AC12" si="2">$F$6</f>
        <v>400</v>
      </c>
      <c r="K12" s="2">
        <f t="shared" si="2"/>
        <v>400</v>
      </c>
      <c r="L12" s="2">
        <f t="shared" si="2"/>
        <v>400</v>
      </c>
      <c r="M12" s="2">
        <f t="shared" si="2"/>
        <v>400</v>
      </c>
      <c r="N12" s="2">
        <f t="shared" si="2"/>
        <v>400</v>
      </c>
      <c r="O12" s="2">
        <f t="shared" si="2"/>
        <v>400</v>
      </c>
      <c r="P12" s="2">
        <f t="shared" si="2"/>
        <v>400</v>
      </c>
      <c r="Q12" s="2">
        <f t="shared" si="2"/>
        <v>400</v>
      </c>
      <c r="R12" s="2">
        <f t="shared" si="2"/>
        <v>400</v>
      </c>
      <c r="S12" s="2">
        <f t="shared" si="2"/>
        <v>400</v>
      </c>
      <c r="T12" s="2">
        <f t="shared" si="2"/>
        <v>400</v>
      </c>
      <c r="U12" s="2">
        <f t="shared" si="2"/>
        <v>400</v>
      </c>
      <c r="V12" s="2">
        <f t="shared" si="2"/>
        <v>400</v>
      </c>
      <c r="W12" s="2">
        <f t="shared" si="2"/>
        <v>400</v>
      </c>
      <c r="X12" s="2">
        <f t="shared" si="2"/>
        <v>400</v>
      </c>
      <c r="Y12" s="2">
        <f t="shared" si="2"/>
        <v>400</v>
      </c>
      <c r="Z12" s="2">
        <f t="shared" si="2"/>
        <v>400</v>
      </c>
      <c r="AA12" s="2">
        <f t="shared" si="2"/>
        <v>400</v>
      </c>
      <c r="AB12" s="2">
        <f t="shared" si="2"/>
        <v>400</v>
      </c>
      <c r="AC12" s="2">
        <f t="shared" si="2"/>
        <v>400</v>
      </c>
      <c r="AD12" s="42" t="s">
        <v>86</v>
      </c>
    </row>
    <row r="13" spans="1:30" ht="15.95" customHeight="1" x14ac:dyDescent="0.15">
      <c r="B13" s="271" t="s">
        <v>206</v>
      </c>
      <c r="C13" s="214" t="s">
        <v>159</v>
      </c>
      <c r="D13" s="42" t="s">
        <v>75</v>
      </c>
      <c r="E13" s="11">
        <f>流入水量!D4</f>
        <v>4060</v>
      </c>
      <c r="F13" s="11">
        <f>流入水量!E4</f>
        <v>4046.37</v>
      </c>
      <c r="G13" s="11">
        <f>流入水量!F4</f>
        <v>4030.13</v>
      </c>
      <c r="H13" s="11">
        <f>流入水量!G4</f>
        <v>4011.28</v>
      </c>
      <c r="I13" s="11">
        <f>流入水量!H4</f>
        <v>3989.53</v>
      </c>
      <c r="J13" s="11">
        <f>流入水量!I4</f>
        <v>3965.17</v>
      </c>
      <c r="K13" s="11">
        <f>流入水量!J4</f>
        <v>3938.2</v>
      </c>
      <c r="L13" s="11">
        <f>流入水量!K4</f>
        <v>3908.33</v>
      </c>
      <c r="M13" s="11">
        <f>流入水量!L4</f>
        <v>3875.85</v>
      </c>
      <c r="N13" s="11">
        <f>流入水量!M4</f>
        <v>3840.76</v>
      </c>
      <c r="O13" s="11">
        <f>流入水量!N4</f>
        <v>3802.77</v>
      </c>
      <c r="P13" s="11">
        <f>流入水量!O4</f>
        <v>3762.17</v>
      </c>
      <c r="Q13" s="11">
        <f>流入水量!P4</f>
        <v>3718.96</v>
      </c>
      <c r="R13" s="11">
        <f>流入水量!Q4</f>
        <v>3672.85</v>
      </c>
      <c r="S13" s="11">
        <f>流入水量!R4</f>
        <v>3624.13</v>
      </c>
      <c r="T13" s="11">
        <f>流入水量!S4</f>
        <v>3572.8</v>
      </c>
      <c r="U13" s="11">
        <f>流入水量!T4</f>
        <v>3518.57</v>
      </c>
      <c r="V13" s="11">
        <f>流入水量!U4</f>
        <v>3461.73</v>
      </c>
      <c r="W13" s="11">
        <f>流入水量!V4</f>
        <v>3402.28</v>
      </c>
      <c r="X13" s="11">
        <f>流入水量!W4</f>
        <v>3339.93</v>
      </c>
      <c r="Y13" s="11">
        <f>流入水量!X4</f>
        <v>3274.97</v>
      </c>
      <c r="Z13" s="11">
        <f>流入水量!Y4</f>
        <v>3207.4</v>
      </c>
      <c r="AA13" s="11">
        <f>流入水量!Z4</f>
        <v>3136.93</v>
      </c>
      <c r="AB13" s="11">
        <f>流入水量!AA4</f>
        <v>3063.85</v>
      </c>
      <c r="AC13" s="11">
        <f>流入水量!AB4</f>
        <v>2988.16</v>
      </c>
      <c r="AD13" s="42" t="s">
        <v>86</v>
      </c>
    </row>
    <row r="14" spans="1:30" ht="15.95" customHeight="1" x14ac:dyDescent="0.15">
      <c r="B14" s="271"/>
      <c r="C14" s="214"/>
      <c r="D14" s="156" t="s">
        <v>53</v>
      </c>
      <c r="E14" s="11">
        <f>流入水量!D5</f>
        <v>405</v>
      </c>
      <c r="F14" s="11">
        <f>流入水量!E5</f>
        <v>403.65</v>
      </c>
      <c r="G14" s="11">
        <f>流入水量!F5</f>
        <v>402.03</v>
      </c>
      <c r="H14" s="11">
        <f>流入水量!G5</f>
        <v>400.14</v>
      </c>
      <c r="I14" s="11">
        <f>流入水量!H5</f>
        <v>397.98</v>
      </c>
      <c r="J14" s="11">
        <f>流入水量!I5</f>
        <v>395.55</v>
      </c>
      <c r="K14" s="11">
        <f>流入水量!J5</f>
        <v>392.85</v>
      </c>
      <c r="L14" s="11">
        <f>流入水量!K5</f>
        <v>389.88</v>
      </c>
      <c r="M14" s="11">
        <f>流入水量!L5</f>
        <v>386.64</v>
      </c>
      <c r="N14" s="11">
        <f>流入水量!M5</f>
        <v>383.13</v>
      </c>
      <c r="O14" s="11">
        <f>流入水量!N5</f>
        <v>379.35</v>
      </c>
      <c r="P14" s="11">
        <f>流入水量!O5</f>
        <v>375.3</v>
      </c>
      <c r="Q14" s="11">
        <f>流入水量!P5</f>
        <v>370.98</v>
      </c>
      <c r="R14" s="11">
        <f>流入水量!Q5</f>
        <v>366.39</v>
      </c>
      <c r="S14" s="11">
        <f>流入水量!R5</f>
        <v>361.53</v>
      </c>
      <c r="T14" s="11">
        <f>流入水量!S5</f>
        <v>356.4</v>
      </c>
      <c r="U14" s="11">
        <f>流入水量!T5</f>
        <v>351</v>
      </c>
      <c r="V14" s="11">
        <f>流入水量!U5</f>
        <v>345.33</v>
      </c>
      <c r="W14" s="11">
        <f>流入水量!V5</f>
        <v>339.39</v>
      </c>
      <c r="X14" s="11">
        <f>流入水量!W5</f>
        <v>333.18</v>
      </c>
      <c r="Y14" s="11">
        <f>流入水量!X5</f>
        <v>326.7</v>
      </c>
      <c r="Z14" s="11">
        <f>流入水量!Y5</f>
        <v>319.95</v>
      </c>
      <c r="AA14" s="11">
        <f>流入水量!Z5</f>
        <v>312.93</v>
      </c>
      <c r="AB14" s="11">
        <f>流入水量!AA5</f>
        <v>305.64</v>
      </c>
      <c r="AC14" s="11">
        <f>流入水量!AB5</f>
        <v>298.08</v>
      </c>
      <c r="AD14" s="42" t="s">
        <v>86</v>
      </c>
    </row>
    <row r="15" spans="1:30" ht="15.95" customHeight="1" x14ac:dyDescent="0.15">
      <c r="B15" s="151" t="s">
        <v>230</v>
      </c>
      <c r="C15" s="149" t="s">
        <v>5</v>
      </c>
      <c r="D15" s="156" t="s">
        <v>53</v>
      </c>
      <c r="E15" s="11">
        <f>'整備の現状、人口見通し'!E12</f>
        <v>1500</v>
      </c>
      <c r="F15" s="11">
        <f>'整備の現状、人口見通し'!F12</f>
        <v>1495</v>
      </c>
      <c r="G15" s="11">
        <f>'整備の現状、人口見通し'!G12</f>
        <v>1489</v>
      </c>
      <c r="H15" s="11">
        <f>'整備の現状、人口見通し'!H12</f>
        <v>1482</v>
      </c>
      <c r="I15" s="11">
        <f>'整備の現状、人口見通し'!I12</f>
        <v>1474</v>
      </c>
      <c r="J15" s="11">
        <f>'整備の現状、人口見通し'!J12</f>
        <v>1465</v>
      </c>
      <c r="K15" s="11">
        <f>'整備の現状、人口見通し'!K12</f>
        <v>1455</v>
      </c>
      <c r="L15" s="11">
        <f>'整備の現状、人口見通し'!L12</f>
        <v>1444</v>
      </c>
      <c r="M15" s="11">
        <f>'整備の現状、人口見通し'!M12</f>
        <v>1432</v>
      </c>
      <c r="N15" s="11">
        <f>'整備の現状、人口見通し'!N12</f>
        <v>1419</v>
      </c>
      <c r="O15" s="11">
        <f>'整備の現状、人口見通し'!O12</f>
        <v>1405</v>
      </c>
      <c r="P15" s="11">
        <f>'整備の現状、人口見通し'!P12</f>
        <v>1390</v>
      </c>
      <c r="Q15" s="11">
        <f>'整備の現状、人口見通し'!Q12</f>
        <v>1374</v>
      </c>
      <c r="R15" s="11">
        <f>'整備の現状、人口見通し'!R12</f>
        <v>1357</v>
      </c>
      <c r="S15" s="11">
        <f>'整備の現状、人口見通し'!S12</f>
        <v>1339</v>
      </c>
      <c r="T15" s="11">
        <f>'整備の現状、人口見通し'!T12</f>
        <v>1320</v>
      </c>
      <c r="U15" s="11">
        <f>'整備の現状、人口見通し'!U12</f>
        <v>1300</v>
      </c>
      <c r="V15" s="11">
        <f>'整備の現状、人口見通し'!V12</f>
        <v>1279</v>
      </c>
      <c r="W15" s="11">
        <f>'整備の現状、人口見通し'!W12</f>
        <v>1257</v>
      </c>
      <c r="X15" s="11">
        <f>'整備の現状、人口見通し'!X12</f>
        <v>1234</v>
      </c>
      <c r="Y15" s="11">
        <f>'整備の現状、人口見通し'!Y12</f>
        <v>1210</v>
      </c>
      <c r="Z15" s="11">
        <f>'整備の現状、人口見通し'!Z12</f>
        <v>1185</v>
      </c>
      <c r="AA15" s="11">
        <f>'整備の現状、人口見通し'!AA12</f>
        <v>1159</v>
      </c>
      <c r="AB15" s="11">
        <f>'整備の現状、人口見通し'!AB12</f>
        <v>1132</v>
      </c>
      <c r="AC15" s="11">
        <f>'整備の現状、人口見通し'!AC12</f>
        <v>1104</v>
      </c>
      <c r="AD15" s="149" t="s">
        <v>41</v>
      </c>
    </row>
    <row r="16" spans="1:30" ht="15.95" customHeight="1" x14ac:dyDescent="0.15">
      <c r="B16" s="271" t="s">
        <v>89</v>
      </c>
      <c r="C16" s="214" t="s">
        <v>36</v>
      </c>
      <c r="D16" s="42" t="s">
        <v>75</v>
      </c>
      <c r="E16" s="17">
        <f t="shared" ref="E16:AC16" si="3">E13/E11</f>
        <v>0.45111111111111113</v>
      </c>
      <c r="F16" s="17">
        <f t="shared" si="3"/>
        <v>0.44959666666666664</v>
      </c>
      <c r="G16" s="17">
        <f t="shared" si="3"/>
        <v>0.44779222222222226</v>
      </c>
      <c r="H16" s="17">
        <f t="shared" si="3"/>
        <v>0.4456977777777778</v>
      </c>
      <c r="I16" s="17">
        <f t="shared" si="3"/>
        <v>0.44328111111111113</v>
      </c>
      <c r="J16" s="17">
        <f t="shared" si="3"/>
        <v>0.44057444444444444</v>
      </c>
      <c r="K16" s="17">
        <f t="shared" si="3"/>
        <v>0.43757777777777773</v>
      </c>
      <c r="L16" s="17">
        <f t="shared" si="3"/>
        <v>0.43425888888888886</v>
      </c>
      <c r="M16" s="17">
        <f t="shared" si="3"/>
        <v>0.43064999999999998</v>
      </c>
      <c r="N16" s="17">
        <f t="shared" si="3"/>
        <v>0.42675111111111114</v>
      </c>
      <c r="O16" s="17">
        <f t="shared" si="3"/>
        <v>0.42253000000000002</v>
      </c>
      <c r="P16" s="17">
        <f t="shared" si="3"/>
        <v>0.68403090909090913</v>
      </c>
      <c r="Q16" s="17">
        <f t="shared" si="3"/>
        <v>0.67617454545454547</v>
      </c>
      <c r="R16" s="17">
        <f t="shared" si="3"/>
        <v>0.6677909090909091</v>
      </c>
      <c r="S16" s="17">
        <f t="shared" si="3"/>
        <v>0.65893272727272734</v>
      </c>
      <c r="T16" s="17">
        <f t="shared" si="3"/>
        <v>0.64960000000000007</v>
      </c>
      <c r="U16" s="17">
        <f t="shared" si="3"/>
        <v>0.63973999999999998</v>
      </c>
      <c r="V16" s="17">
        <f t="shared" si="3"/>
        <v>0.6294054545454546</v>
      </c>
      <c r="W16" s="17">
        <f t="shared" si="3"/>
        <v>0.61859636363636372</v>
      </c>
      <c r="X16" s="17">
        <f t="shared" si="3"/>
        <v>0.60726000000000002</v>
      </c>
      <c r="Y16" s="17">
        <f t="shared" si="3"/>
        <v>0.59544909090909093</v>
      </c>
      <c r="Z16" s="17">
        <f t="shared" si="3"/>
        <v>0.58316363636363633</v>
      </c>
      <c r="AA16" s="17">
        <f t="shared" si="3"/>
        <v>0.57035090909090902</v>
      </c>
      <c r="AB16" s="17">
        <f t="shared" si="3"/>
        <v>0.55706363636363632</v>
      </c>
      <c r="AC16" s="17">
        <f t="shared" si="3"/>
        <v>0.54330181818181811</v>
      </c>
      <c r="AD16" s="42" t="s">
        <v>86</v>
      </c>
    </row>
    <row r="17" spans="1:32" ht="15.95" customHeight="1" x14ac:dyDescent="0.15">
      <c r="B17" s="271"/>
      <c r="C17" s="214"/>
      <c r="D17" s="156" t="s">
        <v>53</v>
      </c>
      <c r="E17" s="17">
        <f t="shared" ref="E17:AC17" si="4">E14/E12</f>
        <v>0.50624999999999998</v>
      </c>
      <c r="F17" s="17">
        <f t="shared" si="4"/>
        <v>0.50456250000000002</v>
      </c>
      <c r="G17" s="17">
        <f t="shared" si="4"/>
        <v>0.50253749999999997</v>
      </c>
      <c r="H17" s="17">
        <f t="shared" si="4"/>
        <v>0.50017500000000004</v>
      </c>
      <c r="I17" s="17">
        <f t="shared" si="4"/>
        <v>0.497475</v>
      </c>
      <c r="J17" s="17">
        <f t="shared" si="4"/>
        <v>0.98887500000000006</v>
      </c>
      <c r="K17" s="17">
        <f t="shared" si="4"/>
        <v>0.98212500000000003</v>
      </c>
      <c r="L17" s="17">
        <f t="shared" si="4"/>
        <v>0.97470000000000001</v>
      </c>
      <c r="M17" s="17">
        <f t="shared" si="4"/>
        <v>0.96660000000000001</v>
      </c>
      <c r="N17" s="17">
        <f t="shared" si="4"/>
        <v>0.95782500000000004</v>
      </c>
      <c r="O17" s="17">
        <f t="shared" si="4"/>
        <v>0.94837500000000008</v>
      </c>
      <c r="P17" s="17">
        <f t="shared" si="4"/>
        <v>0.93825000000000003</v>
      </c>
      <c r="Q17" s="17">
        <f t="shared" si="4"/>
        <v>0.92745</v>
      </c>
      <c r="R17" s="17">
        <f t="shared" si="4"/>
        <v>0.91597499999999998</v>
      </c>
      <c r="S17" s="17">
        <f t="shared" si="4"/>
        <v>0.90382499999999988</v>
      </c>
      <c r="T17" s="17">
        <f t="shared" si="4"/>
        <v>0.8909999999999999</v>
      </c>
      <c r="U17" s="17">
        <f t="shared" si="4"/>
        <v>0.87749999999999995</v>
      </c>
      <c r="V17" s="17">
        <f t="shared" si="4"/>
        <v>0.86332500000000001</v>
      </c>
      <c r="W17" s="17">
        <f t="shared" si="4"/>
        <v>0.84847499999999998</v>
      </c>
      <c r="X17" s="17">
        <f t="shared" si="4"/>
        <v>0.83294999999999997</v>
      </c>
      <c r="Y17" s="17">
        <f t="shared" si="4"/>
        <v>0.81674999999999998</v>
      </c>
      <c r="Z17" s="17">
        <f t="shared" si="4"/>
        <v>0.799875</v>
      </c>
      <c r="AA17" s="17">
        <f t="shared" si="4"/>
        <v>0.78232500000000005</v>
      </c>
      <c r="AB17" s="17">
        <f t="shared" si="4"/>
        <v>0.7641</v>
      </c>
      <c r="AC17" s="17">
        <f t="shared" si="4"/>
        <v>0.74519999999999997</v>
      </c>
      <c r="AD17" s="42" t="s">
        <v>86</v>
      </c>
    </row>
    <row r="18" spans="1:32" ht="15.95" customHeight="1" x14ac:dyDescent="0.15">
      <c r="B18" s="272" t="s">
        <v>177</v>
      </c>
      <c r="C18" s="216" t="s">
        <v>72</v>
      </c>
      <c r="D18" s="42" t="s">
        <v>75</v>
      </c>
      <c r="E18" s="93">
        <v>1</v>
      </c>
      <c r="F18" s="93">
        <f t="shared" ref="F18:O18" si="5">$N$5*(F16*100)^$O$5/$P$5</f>
        <v>1.0032908495138475</v>
      </c>
      <c r="G18" s="93">
        <f t="shared" si="5"/>
        <v>1.0072405874931165</v>
      </c>
      <c r="H18" s="93">
        <f t="shared" si="5"/>
        <v>1.0118647461317642</v>
      </c>
      <c r="I18" s="93">
        <f t="shared" si="5"/>
        <v>1.0172539842928507</v>
      </c>
      <c r="J18" s="93">
        <f t="shared" si="5"/>
        <v>1.0233593096889433</v>
      </c>
      <c r="K18" s="93">
        <f t="shared" si="5"/>
        <v>1.0302058593442842</v>
      </c>
      <c r="L18" s="93">
        <f t="shared" si="5"/>
        <v>1.0378975977002818</v>
      </c>
      <c r="M18" s="93">
        <f t="shared" si="5"/>
        <v>1.0463944172229152</v>
      </c>
      <c r="N18" s="93">
        <f t="shared" si="5"/>
        <v>1.0557336389261469</v>
      </c>
      <c r="O18" s="93">
        <f t="shared" si="5"/>
        <v>1.0660367511389208</v>
      </c>
      <c r="P18" s="102">
        <v>1</v>
      </c>
      <c r="Q18" s="93">
        <f t="shared" ref="Q18:AC18" si="6">$N$5*(Q16*100)^$O$5/$Q$5</f>
        <v>1.0113500955737715</v>
      </c>
      <c r="R18" s="93">
        <f t="shared" si="6"/>
        <v>1.0237530621984705</v>
      </c>
      <c r="S18" s="93">
        <f t="shared" si="6"/>
        <v>1.037196998600511</v>
      </c>
      <c r="T18" s="93">
        <f t="shared" si="6"/>
        <v>1.0517531633699417</v>
      </c>
      <c r="U18" s="93">
        <f t="shared" si="6"/>
        <v>1.0675876948663043</v>
      </c>
      <c r="V18" s="93">
        <f t="shared" si="6"/>
        <v>1.084710599695708</v>
      </c>
      <c r="W18" s="93">
        <f t="shared" si="6"/>
        <v>1.1032247374818855</v>
      </c>
      <c r="X18" s="93">
        <f t="shared" si="6"/>
        <v>1.1233418196973615</v>
      </c>
      <c r="Y18" s="93">
        <f t="shared" si="6"/>
        <v>1.1451062231587013</v>
      </c>
      <c r="Z18" s="93">
        <f t="shared" si="6"/>
        <v>1.168669552410184</v>
      </c>
      <c r="AA18" s="93">
        <f t="shared" si="6"/>
        <v>1.1943128797085893</v>
      </c>
      <c r="AB18" s="93">
        <f t="shared" si="6"/>
        <v>1.2221372620524902</v>
      </c>
      <c r="AC18" s="93">
        <f t="shared" si="6"/>
        <v>1.2523732218909704</v>
      </c>
      <c r="AD18" s="42" t="s">
        <v>86</v>
      </c>
    </row>
    <row r="19" spans="1:32" ht="15.95" customHeight="1" x14ac:dyDescent="0.15">
      <c r="B19" s="271"/>
      <c r="C19" s="216"/>
      <c r="D19" s="156" t="s">
        <v>53</v>
      </c>
      <c r="E19" s="93">
        <v>1</v>
      </c>
      <c r="F19" s="93">
        <f>$N$6*(F17*100)^$O$6/$P$6</f>
        <v>1.0030430207679342</v>
      </c>
      <c r="G19" s="93">
        <f>$N$6*(G17*100)^$O$6/$P$6</f>
        <v>1.0067204037572224</v>
      </c>
      <c r="H19" s="93">
        <f>$N$6*(H17*100)^$O$6/$P$6</f>
        <v>1.0110466171573078</v>
      </c>
      <c r="I19" s="93">
        <f>$N$6*(I17*100)^$O$6/$P$6</f>
        <v>1.0160389002290215</v>
      </c>
      <c r="J19" s="102">
        <v>1</v>
      </c>
      <c r="K19" s="93">
        <f t="shared" ref="K19:AC19" si="7">$N$6*(K17*100)^$O$6/$Q$6</f>
        <v>1.0062523660274239</v>
      </c>
      <c r="L19" s="93">
        <f t="shared" si="7"/>
        <v>1.0132254566386367</v>
      </c>
      <c r="M19" s="93">
        <f t="shared" si="7"/>
        <v>1.0209491034939062</v>
      </c>
      <c r="N19" s="93">
        <f t="shared" si="7"/>
        <v>1.0294571127667131</v>
      </c>
      <c r="O19" s="93">
        <f t="shared" si="7"/>
        <v>1.0387876636016662</v>
      </c>
      <c r="P19" s="93">
        <f t="shared" si="7"/>
        <v>1.0489837734937044</v>
      </c>
      <c r="Q19" s="93">
        <f t="shared" si="7"/>
        <v>1.0600938418882504</v>
      </c>
      <c r="R19" s="93">
        <f t="shared" si="7"/>
        <v>1.0721722857675351</v>
      </c>
      <c r="S19" s="93">
        <f t="shared" si="7"/>
        <v>1.0852802840459903</v>
      </c>
      <c r="T19" s="93">
        <f t="shared" si="7"/>
        <v>1.0994866514140407</v>
      </c>
      <c r="U19" s="93">
        <f t="shared" si="7"/>
        <v>1.1148688670640368</v>
      </c>
      <c r="V19" s="93">
        <f t="shared" si="7"/>
        <v>1.1315142897950892</v>
      </c>
      <c r="W19" s="93">
        <f t="shared" si="7"/>
        <v>1.1495215987128615</v>
      </c>
      <c r="X19" s="93">
        <f t="shared" si="7"/>
        <v>1.1690025086383227</v>
      </c>
      <c r="Y19" s="93">
        <f t="shared" si="7"/>
        <v>1.1900838221246395</v>
      </c>
      <c r="Z19" s="93">
        <f t="shared" si="7"/>
        <v>1.2129098966249867</v>
      </c>
      <c r="AA19" s="93">
        <f t="shared" si="7"/>
        <v>1.2376456271985179</v>
      </c>
      <c r="AB19" s="93">
        <f t="shared" si="7"/>
        <v>1.2644800740626037</v>
      </c>
      <c r="AC19" s="93">
        <f t="shared" si="7"/>
        <v>1.2936309029442039</v>
      </c>
      <c r="AD19" s="42" t="s">
        <v>86</v>
      </c>
    </row>
    <row r="20" spans="1:32" ht="15.95" customHeight="1" x14ac:dyDescent="0.15">
      <c r="A20" t="s">
        <v>254</v>
      </c>
      <c r="B20" s="272" t="s">
        <v>93</v>
      </c>
      <c r="C20" s="216" t="s">
        <v>80</v>
      </c>
      <c r="D20" s="42" t="s">
        <v>75</v>
      </c>
      <c r="E20" s="139">
        <f t="shared" ref="E20:O20" si="8">E13*E18*$C5*365/1000000</f>
        <v>111.1425</v>
      </c>
      <c r="F20" s="139">
        <f t="shared" si="8"/>
        <v>111.13390410620862</v>
      </c>
      <c r="G20" s="139">
        <f t="shared" si="8"/>
        <v>111.12362518041571</v>
      </c>
      <c r="H20" s="139">
        <f t="shared" si="8"/>
        <v>111.11164341638622</v>
      </c>
      <c r="I20" s="139">
        <f t="shared" si="8"/>
        <v>111.09774975779159</v>
      </c>
      <c r="J20" s="139">
        <f t="shared" si="8"/>
        <v>111.08210073073104</v>
      </c>
      <c r="K20" s="139">
        <f t="shared" si="8"/>
        <v>111.06466508050694</v>
      </c>
      <c r="L20" s="139">
        <f t="shared" si="8"/>
        <v>111.04521795579592</v>
      </c>
      <c r="M20" s="139">
        <f t="shared" si="8"/>
        <v>111.02390607957031</v>
      </c>
      <c r="N20" s="139">
        <f t="shared" si="8"/>
        <v>111.00068466227444</v>
      </c>
      <c r="O20" s="139">
        <f t="shared" si="8"/>
        <v>110.97530927151917</v>
      </c>
      <c r="P20" s="140">
        <f t="shared" ref="P20:AC20" si="9">P13*P18*$D5*365/1000000</f>
        <v>65.913218400000005</v>
      </c>
      <c r="Q20" s="141">
        <f t="shared" si="9"/>
        <v>65.895708061141789</v>
      </c>
      <c r="R20" s="141">
        <f t="shared" si="9"/>
        <v>65.876801932363819</v>
      </c>
      <c r="S20" s="141">
        <f t="shared" si="9"/>
        <v>65.856572009586984</v>
      </c>
      <c r="T20" s="141">
        <f t="shared" si="9"/>
        <v>65.834968860583999</v>
      </c>
      <c r="U20" s="141">
        <f t="shared" si="9"/>
        <v>65.811813262410837</v>
      </c>
      <c r="V20" s="141">
        <f t="shared" si="9"/>
        <v>65.78716592946661</v>
      </c>
      <c r="W20" s="141">
        <f t="shared" si="9"/>
        <v>65.760960136394516</v>
      </c>
      <c r="X20" s="141">
        <f t="shared" si="9"/>
        <v>65.732990928458889</v>
      </c>
      <c r="Y20" s="141">
        <f t="shared" si="9"/>
        <v>65.703303004569065</v>
      </c>
      <c r="Z20" s="141">
        <f t="shared" si="9"/>
        <v>65.671805456455431</v>
      </c>
      <c r="AA20" s="141">
        <f t="shared" si="9"/>
        <v>65.638257798559522</v>
      </c>
      <c r="AB20" s="141">
        <f t="shared" si="9"/>
        <v>65.602680785948422</v>
      </c>
      <c r="AC20" s="141">
        <f t="shared" si="9"/>
        <v>65.564948249034657</v>
      </c>
      <c r="AD20" s="11">
        <f>SUM(E20:AC20)</f>
        <v>2142.4525010561747</v>
      </c>
    </row>
    <row r="21" spans="1:32" ht="15.95" customHeight="1" x14ac:dyDescent="0.15">
      <c r="A21" s="207" t="s">
        <v>255</v>
      </c>
      <c r="B21" s="271"/>
      <c r="C21" s="216"/>
      <c r="D21" s="156" t="s">
        <v>53</v>
      </c>
      <c r="E21" s="78">
        <f>E14*E19*$C6*365/1000000</f>
        <v>26.608499999999999</v>
      </c>
      <c r="F21" s="78">
        <f>F14*F19*$C6*365/1000000</f>
        <v>26.600505317376566</v>
      </c>
      <c r="G21" s="78">
        <f>G14*G19*$C6*365/1000000</f>
        <v>26.590879517709304</v>
      </c>
      <c r="H21" s="78">
        <f>H14*H19*$C6*365/1000000</f>
        <v>26.579604705678662</v>
      </c>
      <c r="I21" s="78">
        <f>I14*I19*$C6*365/1000000</f>
        <v>26.566659711413688</v>
      </c>
      <c r="J21" s="142">
        <f>J14*J19*$D6*365/1000000</f>
        <v>5.5140180055048296</v>
      </c>
      <c r="K21" s="78">
        <f t="shared" ref="K21:O21" si="10">K14*K19*$D6*365/1000000</f>
        <v>5.5106199874672424</v>
      </c>
      <c r="L21" s="78">
        <f t="shared" si="10"/>
        <v>5.5068575332871212</v>
      </c>
      <c r="M21" s="78">
        <f t="shared" si="10"/>
        <v>5.5027231745918073</v>
      </c>
      <c r="N21" s="78">
        <f t="shared" si="10"/>
        <v>5.4982085556485085</v>
      </c>
      <c r="O21" s="78">
        <f t="shared" si="10"/>
        <v>5.4933043705114093</v>
      </c>
      <c r="P21" s="78">
        <f t="shared" ref="P21:AC21" si="11">P14*P19*$D6*365/1000000</f>
        <v>5.488000290916105</v>
      </c>
      <c r="Q21" s="78">
        <f t="shared" si="11"/>
        <v>5.4822848836526497</v>
      </c>
      <c r="R21" s="78">
        <f t="shared" si="11"/>
        <v>5.476145515904741</v>
      </c>
      <c r="S21" s="78">
        <f t="shared" si="11"/>
        <v>5.4695682467483904</v>
      </c>
      <c r="T21" s="78">
        <f t="shared" si="11"/>
        <v>5.4625377026458608</v>
      </c>
      <c r="U21" s="78">
        <f t="shared" si="11"/>
        <v>5.4550369343332621</v>
      </c>
      <c r="V21" s="78">
        <f t="shared" si="11"/>
        <v>5.4470472519626165</v>
      </c>
      <c r="W21" s="78">
        <f t="shared" si="11"/>
        <v>5.4385480346931097</v>
      </c>
      <c r="X21" s="78">
        <f t="shared" si="11"/>
        <v>5.4295165100970921</v>
      </c>
      <c r="Y21" s="78">
        <f t="shared" si="11"/>
        <v>5.419927497705717</v>
      </c>
      <c r="Z21" s="78">
        <f t="shared" si="11"/>
        <v>5.4097531097054858</v>
      </c>
      <c r="AA21" s="78">
        <f t="shared" si="11"/>
        <v>5.3989624001250851</v>
      </c>
      <c r="AB21" s="78">
        <f t="shared" si="11"/>
        <v>5.3875209517085798</v>
      </c>
      <c r="AC21" s="78">
        <f t="shared" si="11"/>
        <v>5.3753903868998218</v>
      </c>
      <c r="AD21" s="11">
        <f>SUM(E21:AC21)</f>
        <v>242.11212059628764</v>
      </c>
    </row>
    <row r="22" spans="1:32" ht="15.95" customHeight="1" x14ac:dyDescent="0.15">
      <c r="A22" t="s">
        <v>256</v>
      </c>
      <c r="B22" s="272" t="s">
        <v>94</v>
      </c>
      <c r="C22" s="216"/>
      <c r="D22" s="42" t="s">
        <v>75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209">
        <f>$H$5*(P11)^$I$5/1000*(1+23.8/33.4)</f>
        <v>1169.1798809010888</v>
      </c>
      <c r="P22" s="71"/>
      <c r="Q22" s="11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11">
        <f>SUM(E22:AC22)</f>
        <v>1169.1798809010888</v>
      </c>
    </row>
    <row r="23" spans="1:32" ht="15.95" customHeight="1" x14ac:dyDescent="0.15">
      <c r="A23" s="207" t="s">
        <v>255</v>
      </c>
      <c r="B23" s="271"/>
      <c r="C23" s="216"/>
      <c r="D23" s="156" t="s">
        <v>53</v>
      </c>
      <c r="E23" s="3"/>
      <c r="F23" s="3"/>
      <c r="G23" s="3"/>
      <c r="H23" s="3"/>
      <c r="I23" s="163">
        <f>$H$6*(J15)^$I$6/1000*1/2</f>
        <v>146.0908423449755</v>
      </c>
      <c r="J23" s="71"/>
      <c r="K23" s="11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11">
        <f>SUM(E23:AC23)</f>
        <v>146.0908423449755</v>
      </c>
      <c r="AF23" s="1"/>
    </row>
    <row r="24" spans="1:32" ht="15.95" customHeight="1" x14ac:dyDescent="0.15">
      <c r="B24" s="169" t="s">
        <v>90</v>
      </c>
      <c r="C24" s="216"/>
      <c r="D24" s="47" t="s">
        <v>87</v>
      </c>
      <c r="E24" s="11">
        <f>SUM(E20:E23)</f>
        <v>137.751</v>
      </c>
      <c r="F24" s="11">
        <f t="shared" ref="F24:AA24" si="12">SUM(F20:F23)</f>
        <v>137.73440942358519</v>
      </c>
      <c r="G24" s="11">
        <f t="shared" si="12"/>
        <v>137.71450469812501</v>
      </c>
      <c r="H24" s="11">
        <f t="shared" si="12"/>
        <v>137.69124812206488</v>
      </c>
      <c r="I24" s="11">
        <f t="shared" si="12"/>
        <v>283.75525181418078</v>
      </c>
      <c r="J24" s="11">
        <f t="shared" si="12"/>
        <v>116.59611873623587</v>
      </c>
      <c r="K24" s="11">
        <f t="shared" si="12"/>
        <v>116.57528506797418</v>
      </c>
      <c r="L24" s="11">
        <f t="shared" si="12"/>
        <v>116.55207548908304</v>
      </c>
      <c r="M24" s="11">
        <f t="shared" si="12"/>
        <v>116.52662925416212</v>
      </c>
      <c r="N24" s="11">
        <f t="shared" si="12"/>
        <v>116.49889321792294</v>
      </c>
      <c r="O24" s="11">
        <f t="shared" si="12"/>
        <v>1285.6484945431193</v>
      </c>
      <c r="P24" s="11">
        <f>SUM(P20:P23)</f>
        <v>71.40121869091611</v>
      </c>
      <c r="Q24" s="11">
        <f t="shared" si="12"/>
        <v>71.377992944794443</v>
      </c>
      <c r="R24" s="11">
        <f t="shared" si="12"/>
        <v>71.352947448268566</v>
      </c>
      <c r="S24" s="11">
        <f t="shared" si="12"/>
        <v>71.326140256335378</v>
      </c>
      <c r="T24" s="11">
        <f t="shared" si="12"/>
        <v>71.297506563229859</v>
      </c>
      <c r="U24" s="11">
        <f t="shared" si="12"/>
        <v>71.266850196744102</v>
      </c>
      <c r="V24" s="11">
        <f t="shared" si="12"/>
        <v>71.234213181429226</v>
      </c>
      <c r="W24" s="11">
        <f t="shared" si="12"/>
        <v>71.199508171087629</v>
      </c>
      <c r="X24" s="11">
        <f t="shared" si="12"/>
        <v>71.162507438555977</v>
      </c>
      <c r="Y24" s="11">
        <f t="shared" si="12"/>
        <v>71.123230502274779</v>
      </c>
      <c r="Z24" s="11">
        <f t="shared" si="12"/>
        <v>71.081558566160922</v>
      </c>
      <c r="AA24" s="11">
        <f t="shared" si="12"/>
        <v>71.037220198684608</v>
      </c>
      <c r="AB24" s="11">
        <f>SUM(AB20:AB23)</f>
        <v>70.990201737657003</v>
      </c>
      <c r="AC24" s="11">
        <f>SUM(AC20:AC23)</f>
        <v>70.940338635934481</v>
      </c>
      <c r="AD24" s="11">
        <f>SUM(E24:AC24)</f>
        <v>3699.8353448985267</v>
      </c>
    </row>
    <row r="25" spans="1:32" ht="15.95" customHeight="1" x14ac:dyDescent="0.15">
      <c r="A25" t="s">
        <v>259</v>
      </c>
      <c r="B25" s="169" t="s">
        <v>91</v>
      </c>
      <c r="C25" s="216"/>
      <c r="D25" s="47" t="s">
        <v>87</v>
      </c>
      <c r="E25" s="11">
        <f>E24</f>
        <v>137.751</v>
      </c>
      <c r="F25" s="11">
        <f>E25+F24</f>
        <v>275.48540942358522</v>
      </c>
      <c r="G25" s="11">
        <f t="shared" ref="G25:AC25" si="13">F25+G24</f>
        <v>413.19991412171021</v>
      </c>
      <c r="H25" s="11">
        <f t="shared" si="13"/>
        <v>550.89116224377506</v>
      </c>
      <c r="I25" s="11">
        <f t="shared" si="13"/>
        <v>834.64641405795578</v>
      </c>
      <c r="J25" s="11">
        <f t="shared" si="13"/>
        <v>951.24253279419167</v>
      </c>
      <c r="K25" s="11">
        <f t="shared" si="13"/>
        <v>1067.8178178621658</v>
      </c>
      <c r="L25" s="11">
        <f t="shared" si="13"/>
        <v>1184.3698933512489</v>
      </c>
      <c r="M25" s="11">
        <f t="shared" si="13"/>
        <v>1300.8965226054111</v>
      </c>
      <c r="N25" s="11">
        <f t="shared" si="13"/>
        <v>1417.3954158233339</v>
      </c>
      <c r="O25" s="11">
        <f t="shared" si="13"/>
        <v>2703.043910366453</v>
      </c>
      <c r="P25" s="11">
        <f t="shared" si="13"/>
        <v>2774.4451290573693</v>
      </c>
      <c r="Q25" s="11">
        <f t="shared" si="13"/>
        <v>2845.8231220021639</v>
      </c>
      <c r="R25" s="11">
        <f t="shared" si="13"/>
        <v>2917.1760694504324</v>
      </c>
      <c r="S25" s="11">
        <f t="shared" si="13"/>
        <v>2988.5022097067676</v>
      </c>
      <c r="T25" s="11">
        <f t="shared" si="13"/>
        <v>3059.7997162699976</v>
      </c>
      <c r="U25" s="11">
        <f t="shared" si="13"/>
        <v>3131.0665664667417</v>
      </c>
      <c r="V25" s="11">
        <f t="shared" si="13"/>
        <v>3202.3007796481711</v>
      </c>
      <c r="W25" s="11">
        <f t="shared" si="13"/>
        <v>3273.5002878192586</v>
      </c>
      <c r="X25" s="11">
        <f t="shared" si="13"/>
        <v>3344.6627952578147</v>
      </c>
      <c r="Y25" s="11">
        <f t="shared" si="13"/>
        <v>3415.7860257600896</v>
      </c>
      <c r="Z25" s="11">
        <f t="shared" si="13"/>
        <v>3486.8675843262504</v>
      </c>
      <c r="AA25" s="11">
        <f t="shared" si="13"/>
        <v>3557.9048045249351</v>
      </c>
      <c r="AB25" s="11">
        <f t="shared" si="13"/>
        <v>3628.8950062625922</v>
      </c>
      <c r="AC25" s="11">
        <f t="shared" si="13"/>
        <v>3699.8353448985267</v>
      </c>
      <c r="AD25" s="49">
        <f>AD24/COUNTA(E10:AC10)</f>
        <v>147.99341379594108</v>
      </c>
    </row>
    <row r="26" spans="1:32" x14ac:dyDescent="0.15">
      <c r="B26" t="s">
        <v>88</v>
      </c>
      <c r="C26" t="s">
        <v>228</v>
      </c>
      <c r="AD26" s="48" t="s">
        <v>115</v>
      </c>
    </row>
    <row r="27" spans="1:32" x14ac:dyDescent="0.15">
      <c r="B27" t="s">
        <v>206</v>
      </c>
      <c r="C27" t="s">
        <v>92</v>
      </c>
    </row>
    <row r="28" spans="1:32" x14ac:dyDescent="0.15">
      <c r="B28" t="s">
        <v>89</v>
      </c>
      <c r="C28" t="s">
        <v>207</v>
      </c>
    </row>
    <row r="29" spans="1:32" x14ac:dyDescent="0.15">
      <c r="B29" s="55" t="s">
        <v>177</v>
      </c>
      <c r="C29" s="51" t="s">
        <v>178</v>
      </c>
    </row>
    <row r="30" spans="1:32" ht="15.75" x14ac:dyDescent="0.15">
      <c r="B30" s="50" t="s">
        <v>93</v>
      </c>
      <c r="C30" t="s">
        <v>229</v>
      </c>
    </row>
    <row r="31" spans="1:32" x14ac:dyDescent="0.15">
      <c r="B31" s="55" t="s">
        <v>94</v>
      </c>
      <c r="C31" s="51" t="s">
        <v>238</v>
      </c>
    </row>
    <row r="32" spans="1:32" x14ac:dyDescent="0.15">
      <c r="B32" t="s">
        <v>90</v>
      </c>
      <c r="C32" t="s">
        <v>95</v>
      </c>
    </row>
    <row r="33" spans="2:4" x14ac:dyDescent="0.15">
      <c r="B33" t="s">
        <v>91</v>
      </c>
      <c r="C33" s="51" t="s">
        <v>96</v>
      </c>
    </row>
    <row r="34" spans="2:4" x14ac:dyDescent="0.15">
      <c r="B34" s="20"/>
      <c r="C34" s="20"/>
      <c r="D34" s="20"/>
    </row>
    <row r="35" spans="2:4" x14ac:dyDescent="0.15">
      <c r="B35" s="20"/>
      <c r="C35" s="20"/>
      <c r="D35" s="20"/>
    </row>
    <row r="36" spans="2:4" x14ac:dyDescent="0.15">
      <c r="B36" s="20"/>
      <c r="C36" s="20"/>
      <c r="D36" s="20"/>
    </row>
    <row r="37" spans="2:4" x14ac:dyDescent="0.15">
      <c r="B37" s="20"/>
      <c r="C37" s="20"/>
      <c r="D37" s="20"/>
    </row>
    <row r="38" spans="2:4" x14ac:dyDescent="0.15">
      <c r="B38" s="20"/>
      <c r="C38" s="20"/>
      <c r="D38" s="20"/>
    </row>
    <row r="39" spans="2:4" x14ac:dyDescent="0.15">
      <c r="B39" s="20"/>
      <c r="C39" s="20"/>
      <c r="D39" s="20"/>
    </row>
    <row r="40" spans="2:4" x14ac:dyDescent="0.15">
      <c r="B40" s="20"/>
      <c r="C40" s="20"/>
      <c r="D40" s="20"/>
    </row>
    <row r="41" spans="2:4" x14ac:dyDescent="0.15">
      <c r="B41" s="20"/>
      <c r="C41" s="20"/>
      <c r="D41" s="20"/>
    </row>
    <row r="42" spans="2:4" x14ac:dyDescent="0.15">
      <c r="B42" s="20"/>
      <c r="C42" s="20"/>
      <c r="D42" s="20"/>
    </row>
    <row r="43" spans="2:4" x14ac:dyDescent="0.15">
      <c r="B43" s="20"/>
      <c r="C43" s="20"/>
      <c r="D43" s="20"/>
    </row>
    <row r="55" spans="1:30" s="54" customFormat="1" ht="18.75" x14ac:dyDescent="0.15">
      <c r="F55" s="54" t="s">
        <v>98</v>
      </c>
    </row>
    <row r="56" spans="1:30" x14ac:dyDescent="0.15">
      <c r="A56" s="214" t="s">
        <v>76</v>
      </c>
      <c r="B56" s="214" t="s">
        <v>77</v>
      </c>
      <c r="C56" s="216" t="s">
        <v>175</v>
      </c>
      <c r="D56" s="216" t="s">
        <v>176</v>
      </c>
      <c r="Q56" s="67" t="s">
        <v>181</v>
      </c>
      <c r="R56" s="67" t="s">
        <v>181</v>
      </c>
    </row>
    <row r="57" spans="1:30" ht="13.5" customHeight="1" x14ac:dyDescent="0.15">
      <c r="A57" s="214"/>
      <c r="B57" s="214"/>
      <c r="C57" s="214"/>
      <c r="D57" s="228"/>
      <c r="Q57" s="92" t="s">
        <v>179</v>
      </c>
      <c r="R57" s="68" t="s">
        <v>180</v>
      </c>
    </row>
    <row r="58" spans="1:30" x14ac:dyDescent="0.15">
      <c r="A58" s="89" t="s">
        <v>75</v>
      </c>
      <c r="B58" s="89" t="s">
        <v>78</v>
      </c>
      <c r="C58" s="13">
        <f>維持管理費等!D11</f>
        <v>75</v>
      </c>
      <c r="D58" s="13">
        <f>ROUND(1000*(2468*P64^0.382)/((P66+P67)*365),0)</f>
        <v>45</v>
      </c>
      <c r="E58" s="1"/>
      <c r="Q58" s="3">
        <f>$N$5*(E70*100)^$O$5</f>
        <v>1.5342472491364942</v>
      </c>
      <c r="R58" s="3">
        <f>$N$5*(P70*100)^$O$5</f>
        <v>1.0135243145128521</v>
      </c>
    </row>
    <row r="59" spans="1:30" x14ac:dyDescent="0.15">
      <c r="A59" s="149" t="s">
        <v>225</v>
      </c>
      <c r="B59" s="149" t="s">
        <v>226</v>
      </c>
      <c r="C59" s="4">
        <f>維持管理費等!D12</f>
        <v>180</v>
      </c>
      <c r="D59" s="91"/>
      <c r="Q59" s="3">
        <f>$N$6*(E71*100)^$O$6</f>
        <v>1.8575763075237233</v>
      </c>
      <c r="R59" s="3"/>
    </row>
    <row r="63" spans="1:30" x14ac:dyDescent="0.15">
      <c r="B63" s="45" t="s">
        <v>63</v>
      </c>
      <c r="C63" s="45" t="s">
        <v>1</v>
      </c>
      <c r="D63" s="45" t="s">
        <v>79</v>
      </c>
      <c r="E63" s="2">
        <v>1</v>
      </c>
      <c r="F63" s="2">
        <v>2</v>
      </c>
      <c r="G63" s="2">
        <v>3</v>
      </c>
      <c r="H63" s="2">
        <v>4</v>
      </c>
      <c r="I63" s="2">
        <v>5</v>
      </c>
      <c r="J63" s="2">
        <v>6</v>
      </c>
      <c r="K63" s="2">
        <v>7</v>
      </c>
      <c r="L63" s="2">
        <v>8</v>
      </c>
      <c r="M63" s="2">
        <v>9</v>
      </c>
      <c r="N63" s="2">
        <v>10</v>
      </c>
      <c r="O63" s="2">
        <v>11</v>
      </c>
      <c r="P63" s="2">
        <v>12</v>
      </c>
      <c r="Q63" s="2">
        <v>13</v>
      </c>
      <c r="R63" s="2">
        <v>14</v>
      </c>
      <c r="S63" s="2">
        <v>15</v>
      </c>
      <c r="T63" s="2">
        <v>16</v>
      </c>
      <c r="U63" s="2">
        <v>17</v>
      </c>
      <c r="V63" s="2">
        <v>18</v>
      </c>
      <c r="W63" s="2">
        <v>19</v>
      </c>
      <c r="X63" s="2">
        <v>20</v>
      </c>
      <c r="Y63" s="2">
        <v>21</v>
      </c>
      <c r="Z63" s="2">
        <v>22</v>
      </c>
      <c r="AA63" s="2">
        <v>23</v>
      </c>
      <c r="AB63" s="2">
        <v>24</v>
      </c>
      <c r="AC63" s="2">
        <v>25</v>
      </c>
      <c r="AD63" s="45" t="s">
        <v>85</v>
      </c>
    </row>
    <row r="64" spans="1:30" x14ac:dyDescent="0.15">
      <c r="B64" s="271" t="s">
        <v>88</v>
      </c>
      <c r="C64" s="214" t="s">
        <v>74</v>
      </c>
      <c r="D64" s="45" t="s">
        <v>75</v>
      </c>
      <c r="E64" s="101">
        <f t="shared" ref="E64:O64" si="14">$E$5</f>
        <v>9000</v>
      </c>
      <c r="F64" s="2">
        <f t="shared" si="14"/>
        <v>9000</v>
      </c>
      <c r="G64" s="2">
        <f t="shared" si="14"/>
        <v>9000</v>
      </c>
      <c r="H64" s="2">
        <f t="shared" si="14"/>
        <v>9000</v>
      </c>
      <c r="I64" s="2">
        <f t="shared" si="14"/>
        <v>9000</v>
      </c>
      <c r="J64" s="2">
        <f t="shared" si="14"/>
        <v>9000</v>
      </c>
      <c r="K64" s="2">
        <f t="shared" si="14"/>
        <v>9000</v>
      </c>
      <c r="L64" s="2">
        <f t="shared" si="14"/>
        <v>9000</v>
      </c>
      <c r="M64" s="2">
        <f t="shared" si="14"/>
        <v>9000</v>
      </c>
      <c r="N64" s="2">
        <f t="shared" si="14"/>
        <v>9000</v>
      </c>
      <c r="O64" s="2">
        <f t="shared" si="14"/>
        <v>9000</v>
      </c>
      <c r="P64" s="90">
        <f t="shared" ref="P64:AC64" si="15">$G$5</f>
        <v>6000</v>
      </c>
      <c r="Q64" s="2">
        <f t="shared" si="15"/>
        <v>6000</v>
      </c>
      <c r="R64" s="2">
        <f t="shared" si="15"/>
        <v>6000</v>
      </c>
      <c r="S64" s="2">
        <f t="shared" si="15"/>
        <v>6000</v>
      </c>
      <c r="T64" s="2">
        <f t="shared" si="15"/>
        <v>6000</v>
      </c>
      <c r="U64" s="2">
        <f t="shared" si="15"/>
        <v>6000</v>
      </c>
      <c r="V64" s="2">
        <f t="shared" si="15"/>
        <v>6000</v>
      </c>
      <c r="W64" s="2">
        <f t="shared" si="15"/>
        <v>6000</v>
      </c>
      <c r="X64" s="2">
        <f t="shared" si="15"/>
        <v>6000</v>
      </c>
      <c r="Y64" s="2">
        <f t="shared" si="15"/>
        <v>6000</v>
      </c>
      <c r="Z64" s="2">
        <f t="shared" si="15"/>
        <v>6000</v>
      </c>
      <c r="AA64" s="2">
        <f t="shared" si="15"/>
        <v>6000</v>
      </c>
      <c r="AB64" s="2">
        <f t="shared" si="15"/>
        <v>6000</v>
      </c>
      <c r="AC64" s="2">
        <f t="shared" si="15"/>
        <v>6000</v>
      </c>
      <c r="AD64" s="45" t="s">
        <v>41</v>
      </c>
    </row>
    <row r="65" spans="1:31" x14ac:dyDescent="0.15">
      <c r="B65" s="271"/>
      <c r="C65" s="214"/>
      <c r="D65" s="156" t="s">
        <v>53</v>
      </c>
      <c r="E65" s="2">
        <f>$E$6</f>
        <v>800</v>
      </c>
      <c r="F65" s="2">
        <f>$E$6</f>
        <v>800</v>
      </c>
      <c r="G65" s="2">
        <f>$E$6</f>
        <v>800</v>
      </c>
      <c r="H65" s="2">
        <f>$E$6</f>
        <v>800</v>
      </c>
      <c r="I65" s="2">
        <f>$E$6</f>
        <v>800</v>
      </c>
      <c r="J65" s="251" t="s">
        <v>99</v>
      </c>
      <c r="K65" s="252"/>
      <c r="L65" s="252"/>
      <c r="M65" s="252"/>
      <c r="N65" s="252"/>
      <c r="O65" s="252"/>
      <c r="P65" s="252"/>
      <c r="Q65" s="252"/>
      <c r="R65" s="252"/>
      <c r="S65" s="252"/>
      <c r="T65" s="252"/>
      <c r="U65" s="252"/>
      <c r="V65" s="252"/>
      <c r="W65" s="252"/>
      <c r="X65" s="252"/>
      <c r="Y65" s="252"/>
      <c r="Z65" s="252"/>
      <c r="AA65" s="252"/>
      <c r="AB65" s="252"/>
      <c r="AC65" s="253"/>
      <c r="AD65" s="45" t="s">
        <v>41</v>
      </c>
    </row>
    <row r="66" spans="1:31" ht="27" x14ac:dyDescent="0.15">
      <c r="B66" s="279" t="s">
        <v>206</v>
      </c>
      <c r="C66" s="221" t="s">
        <v>74</v>
      </c>
      <c r="D66" s="167" t="s">
        <v>210</v>
      </c>
      <c r="E66" s="11">
        <f t="shared" ref="E66:AC66" si="16">E13</f>
        <v>4060</v>
      </c>
      <c r="F66" s="11">
        <f t="shared" si="16"/>
        <v>4046.37</v>
      </c>
      <c r="G66" s="11">
        <f t="shared" si="16"/>
        <v>4030.13</v>
      </c>
      <c r="H66" s="11">
        <f t="shared" si="16"/>
        <v>4011.28</v>
      </c>
      <c r="I66" s="11">
        <f t="shared" si="16"/>
        <v>3989.53</v>
      </c>
      <c r="J66" s="11">
        <f t="shared" si="16"/>
        <v>3965.17</v>
      </c>
      <c r="K66" s="11">
        <f t="shared" si="16"/>
        <v>3938.2</v>
      </c>
      <c r="L66" s="11">
        <f t="shared" si="16"/>
        <v>3908.33</v>
      </c>
      <c r="M66" s="11">
        <f t="shared" si="16"/>
        <v>3875.85</v>
      </c>
      <c r="N66" s="11">
        <f t="shared" si="16"/>
        <v>3840.76</v>
      </c>
      <c r="O66" s="11">
        <f t="shared" si="16"/>
        <v>3802.77</v>
      </c>
      <c r="P66" s="11">
        <f t="shared" si="16"/>
        <v>3762.17</v>
      </c>
      <c r="Q66" s="11">
        <f t="shared" si="16"/>
        <v>3718.96</v>
      </c>
      <c r="R66" s="11">
        <f t="shared" si="16"/>
        <v>3672.85</v>
      </c>
      <c r="S66" s="11">
        <f t="shared" si="16"/>
        <v>3624.13</v>
      </c>
      <c r="T66" s="11">
        <f t="shared" si="16"/>
        <v>3572.8</v>
      </c>
      <c r="U66" s="11">
        <f t="shared" si="16"/>
        <v>3518.57</v>
      </c>
      <c r="V66" s="11">
        <f t="shared" si="16"/>
        <v>3461.73</v>
      </c>
      <c r="W66" s="11">
        <f t="shared" si="16"/>
        <v>3402.28</v>
      </c>
      <c r="X66" s="11">
        <f t="shared" si="16"/>
        <v>3339.93</v>
      </c>
      <c r="Y66" s="11">
        <f t="shared" si="16"/>
        <v>3274.97</v>
      </c>
      <c r="Z66" s="11">
        <f t="shared" si="16"/>
        <v>3207.4</v>
      </c>
      <c r="AA66" s="11">
        <f t="shared" si="16"/>
        <v>3136.93</v>
      </c>
      <c r="AB66" s="11">
        <f t="shared" si="16"/>
        <v>3063.85</v>
      </c>
      <c r="AC66" s="11">
        <f t="shared" si="16"/>
        <v>2988.16</v>
      </c>
      <c r="AD66" s="165" t="s">
        <v>41</v>
      </c>
    </row>
    <row r="67" spans="1:31" x14ac:dyDescent="0.15">
      <c r="B67" s="280"/>
      <c r="C67" s="263"/>
      <c r="D67" s="156" t="s">
        <v>53</v>
      </c>
      <c r="E67" s="11">
        <f t="shared" ref="E67:AC67" si="17">E14</f>
        <v>405</v>
      </c>
      <c r="F67" s="11">
        <f t="shared" si="17"/>
        <v>403.65</v>
      </c>
      <c r="G67" s="11">
        <f t="shared" si="17"/>
        <v>402.03</v>
      </c>
      <c r="H67" s="11">
        <f t="shared" si="17"/>
        <v>400.14</v>
      </c>
      <c r="I67" s="11">
        <f t="shared" si="17"/>
        <v>397.98</v>
      </c>
      <c r="J67" s="145">
        <f t="shared" si="17"/>
        <v>395.55</v>
      </c>
      <c r="K67" s="145">
        <f t="shared" si="17"/>
        <v>392.85</v>
      </c>
      <c r="L67" s="145">
        <f t="shared" si="17"/>
        <v>389.88</v>
      </c>
      <c r="M67" s="145">
        <f t="shared" si="17"/>
        <v>386.64</v>
      </c>
      <c r="N67" s="145">
        <f t="shared" si="17"/>
        <v>383.13</v>
      </c>
      <c r="O67" s="145">
        <f t="shared" si="17"/>
        <v>379.35</v>
      </c>
      <c r="P67" s="145">
        <f t="shared" si="17"/>
        <v>375.3</v>
      </c>
      <c r="Q67" s="145">
        <f t="shared" si="17"/>
        <v>370.98</v>
      </c>
      <c r="R67" s="145">
        <f t="shared" si="17"/>
        <v>366.39</v>
      </c>
      <c r="S67" s="145">
        <f t="shared" si="17"/>
        <v>361.53</v>
      </c>
      <c r="T67" s="145">
        <f t="shared" si="17"/>
        <v>356.4</v>
      </c>
      <c r="U67" s="145">
        <f t="shared" si="17"/>
        <v>351</v>
      </c>
      <c r="V67" s="145">
        <f t="shared" si="17"/>
        <v>345.33</v>
      </c>
      <c r="W67" s="145">
        <f t="shared" si="17"/>
        <v>339.39</v>
      </c>
      <c r="X67" s="145">
        <f t="shared" si="17"/>
        <v>333.18</v>
      </c>
      <c r="Y67" s="145">
        <f t="shared" si="17"/>
        <v>326.7</v>
      </c>
      <c r="Z67" s="145">
        <f t="shared" si="17"/>
        <v>319.95</v>
      </c>
      <c r="AA67" s="145">
        <f t="shared" si="17"/>
        <v>312.93</v>
      </c>
      <c r="AB67" s="145">
        <f t="shared" si="17"/>
        <v>305.64</v>
      </c>
      <c r="AC67" s="145">
        <f t="shared" si="17"/>
        <v>298.08</v>
      </c>
      <c r="AD67" s="165" t="s">
        <v>41</v>
      </c>
    </row>
    <row r="68" spans="1:31" ht="12.75" customHeight="1" x14ac:dyDescent="0.15">
      <c r="B68" s="280"/>
      <c r="C68" s="228"/>
      <c r="D68" s="167" t="s">
        <v>211</v>
      </c>
      <c r="E68" s="11"/>
      <c r="F68" s="11"/>
      <c r="G68" s="11"/>
      <c r="H68" s="11"/>
      <c r="I68" s="11"/>
      <c r="J68" s="11">
        <f>J66+J67</f>
        <v>4360.72</v>
      </c>
      <c r="K68" s="11">
        <f t="shared" ref="K68:AC68" si="18">K66+K67</f>
        <v>4331.05</v>
      </c>
      <c r="L68" s="11">
        <f t="shared" si="18"/>
        <v>4298.21</v>
      </c>
      <c r="M68" s="11">
        <f t="shared" si="18"/>
        <v>4262.49</v>
      </c>
      <c r="N68" s="11">
        <f>N66+N67</f>
        <v>4223.8900000000003</v>
      </c>
      <c r="O68" s="11">
        <f t="shared" si="18"/>
        <v>4182.12</v>
      </c>
      <c r="P68" s="11">
        <f t="shared" si="18"/>
        <v>4137.47</v>
      </c>
      <c r="Q68" s="11">
        <f>Q66+Q67</f>
        <v>4089.94</v>
      </c>
      <c r="R68" s="11">
        <f t="shared" si="18"/>
        <v>4039.24</v>
      </c>
      <c r="S68" s="11">
        <f>S66+S67</f>
        <v>3985.66</v>
      </c>
      <c r="T68" s="11">
        <f t="shared" si="18"/>
        <v>3929.2000000000003</v>
      </c>
      <c r="U68" s="11">
        <f t="shared" si="18"/>
        <v>3869.57</v>
      </c>
      <c r="V68" s="11">
        <f t="shared" si="18"/>
        <v>3807.06</v>
      </c>
      <c r="W68" s="11">
        <f t="shared" si="18"/>
        <v>3741.67</v>
      </c>
      <c r="X68" s="11">
        <f t="shared" si="18"/>
        <v>3673.1099999999997</v>
      </c>
      <c r="Y68" s="11">
        <f t="shared" si="18"/>
        <v>3601.6699999999996</v>
      </c>
      <c r="Z68" s="11">
        <f t="shared" si="18"/>
        <v>3527.35</v>
      </c>
      <c r="AA68" s="11">
        <f t="shared" si="18"/>
        <v>3449.8599999999997</v>
      </c>
      <c r="AB68" s="11">
        <f t="shared" si="18"/>
        <v>3369.49</v>
      </c>
      <c r="AC68" s="11">
        <f t="shared" si="18"/>
        <v>3286.24</v>
      </c>
      <c r="AD68" s="165" t="s">
        <v>41</v>
      </c>
    </row>
    <row r="69" spans="1:31" ht="12.75" customHeight="1" x14ac:dyDescent="0.15">
      <c r="B69" s="151" t="s">
        <v>230</v>
      </c>
      <c r="C69" s="149" t="s">
        <v>5</v>
      </c>
      <c r="D69" s="156" t="s">
        <v>53</v>
      </c>
      <c r="E69" s="11">
        <f>'整備の現状、人口見通し'!E12</f>
        <v>1500</v>
      </c>
      <c r="F69" s="11">
        <f>'整備の現状、人口見通し'!F12</f>
        <v>1495</v>
      </c>
      <c r="G69" s="11">
        <f>'整備の現状、人口見通し'!G12</f>
        <v>1489</v>
      </c>
      <c r="H69" s="11">
        <f>'整備の現状、人口見通し'!H12</f>
        <v>1482</v>
      </c>
      <c r="I69" s="11">
        <f>'整備の現状、人口見通し'!I12</f>
        <v>1474</v>
      </c>
      <c r="J69" s="11">
        <f>'整備の現状、人口見通し'!J12</f>
        <v>1465</v>
      </c>
      <c r="K69" s="11">
        <f>'整備の現状、人口見通し'!K12</f>
        <v>1455</v>
      </c>
      <c r="L69" s="11">
        <f>'整備の現状、人口見通し'!L12</f>
        <v>1444</v>
      </c>
      <c r="M69" s="11">
        <f>'整備の現状、人口見通し'!M12</f>
        <v>1432</v>
      </c>
      <c r="N69" s="11">
        <f>'整備の現状、人口見通し'!N12</f>
        <v>1419</v>
      </c>
      <c r="O69" s="11">
        <f>'整備の現状、人口見通し'!O12</f>
        <v>1405</v>
      </c>
      <c r="P69" s="11">
        <f>'整備の現状、人口見通し'!P12</f>
        <v>1390</v>
      </c>
      <c r="Q69" s="11">
        <f>'整備の現状、人口見通し'!Q12</f>
        <v>1374</v>
      </c>
      <c r="R69" s="11">
        <f>'整備の現状、人口見通し'!R12</f>
        <v>1357</v>
      </c>
      <c r="S69" s="11">
        <f>'整備の現状、人口見通し'!S12</f>
        <v>1339</v>
      </c>
      <c r="T69" s="11">
        <f>'整備の現状、人口見通し'!T12</f>
        <v>1320</v>
      </c>
      <c r="U69" s="11">
        <f>'整備の現状、人口見通し'!U12</f>
        <v>1300</v>
      </c>
      <c r="V69" s="11">
        <f>'整備の現状、人口見通し'!V12</f>
        <v>1279</v>
      </c>
      <c r="W69" s="11">
        <f>'整備の現状、人口見通し'!W12</f>
        <v>1257</v>
      </c>
      <c r="X69" s="11">
        <f>'整備の現状、人口見通し'!X12</f>
        <v>1234</v>
      </c>
      <c r="Y69" s="11">
        <f>'整備の現状、人口見通し'!Y12</f>
        <v>1210</v>
      </c>
      <c r="Z69" s="11">
        <f>'整備の現状、人口見通し'!Z12</f>
        <v>1185</v>
      </c>
      <c r="AA69" s="11">
        <f>'整備の現状、人口見通し'!AA12</f>
        <v>1159</v>
      </c>
      <c r="AB69" s="11">
        <f>'整備の現状、人口見通し'!AB12</f>
        <v>1132</v>
      </c>
      <c r="AC69" s="11">
        <f>'整備の現状、人口見通し'!AC12</f>
        <v>1104</v>
      </c>
      <c r="AD69" s="149" t="s">
        <v>41</v>
      </c>
    </row>
    <row r="70" spans="1:31" ht="12.75" customHeight="1" x14ac:dyDescent="0.15">
      <c r="B70" s="271" t="s">
        <v>89</v>
      </c>
      <c r="C70" s="215" t="s">
        <v>36</v>
      </c>
      <c r="D70" s="45" t="s">
        <v>75</v>
      </c>
      <c r="E70" s="62">
        <f t="shared" ref="E70:I71" si="19">E66/E64</f>
        <v>0.45111111111111113</v>
      </c>
      <c r="F70" s="62">
        <f t="shared" si="19"/>
        <v>0.44959666666666664</v>
      </c>
      <c r="G70" s="62">
        <f t="shared" si="19"/>
        <v>0.44779222222222226</v>
      </c>
      <c r="H70" s="62">
        <f t="shared" si="19"/>
        <v>0.4456977777777778</v>
      </c>
      <c r="I70" s="62">
        <f t="shared" si="19"/>
        <v>0.44328111111111113</v>
      </c>
      <c r="J70" s="62">
        <f t="shared" ref="J70:AC70" si="20">J68/J64</f>
        <v>0.48452444444444448</v>
      </c>
      <c r="K70" s="62">
        <f t="shared" si="20"/>
        <v>0.48122777777777781</v>
      </c>
      <c r="L70" s="62">
        <f t="shared" si="20"/>
        <v>0.47757888888888889</v>
      </c>
      <c r="M70" s="62">
        <f t="shared" si="20"/>
        <v>0.47360999999999998</v>
      </c>
      <c r="N70" s="62">
        <f t="shared" si="20"/>
        <v>0.46932111111111113</v>
      </c>
      <c r="O70" s="62">
        <f t="shared" si="20"/>
        <v>0.46467999999999998</v>
      </c>
      <c r="P70" s="62">
        <f t="shared" si="20"/>
        <v>0.6895783333333334</v>
      </c>
      <c r="Q70" s="62">
        <f t="shared" si="20"/>
        <v>0.68165666666666669</v>
      </c>
      <c r="R70" s="62">
        <f t="shared" si="20"/>
        <v>0.67320666666666662</v>
      </c>
      <c r="S70" s="62">
        <f t="shared" si="20"/>
        <v>0.66427666666666663</v>
      </c>
      <c r="T70" s="62">
        <f t="shared" si="20"/>
        <v>0.65486666666666671</v>
      </c>
      <c r="U70" s="62">
        <f t="shared" si="20"/>
        <v>0.64492833333333333</v>
      </c>
      <c r="V70" s="62">
        <f t="shared" si="20"/>
        <v>0.63451000000000002</v>
      </c>
      <c r="W70" s="62">
        <f t="shared" si="20"/>
        <v>0.62361166666666668</v>
      </c>
      <c r="X70" s="62">
        <f t="shared" si="20"/>
        <v>0.61218499999999998</v>
      </c>
      <c r="Y70" s="62">
        <f t="shared" si="20"/>
        <v>0.60027833333333325</v>
      </c>
      <c r="Z70" s="62">
        <f t="shared" si="20"/>
        <v>0.5878916666666667</v>
      </c>
      <c r="AA70" s="62">
        <f t="shared" si="20"/>
        <v>0.57497666666666658</v>
      </c>
      <c r="AB70" s="62">
        <f t="shared" si="20"/>
        <v>0.56158166666666665</v>
      </c>
      <c r="AC70" s="62">
        <f t="shared" si="20"/>
        <v>0.54770666666666667</v>
      </c>
      <c r="AD70" s="45" t="s">
        <v>41</v>
      </c>
    </row>
    <row r="71" spans="1:31" ht="12.75" customHeight="1" x14ac:dyDescent="0.15">
      <c r="B71" s="271"/>
      <c r="C71" s="227"/>
      <c r="D71" s="156" t="s">
        <v>53</v>
      </c>
      <c r="E71" s="62">
        <f t="shared" si="19"/>
        <v>0.50624999999999998</v>
      </c>
      <c r="F71" s="62">
        <f t="shared" si="19"/>
        <v>0.50456250000000002</v>
      </c>
      <c r="G71" s="62">
        <f t="shared" si="19"/>
        <v>0.50253749999999997</v>
      </c>
      <c r="H71" s="62">
        <f t="shared" si="19"/>
        <v>0.50017500000000004</v>
      </c>
      <c r="I71" s="62">
        <f t="shared" si="19"/>
        <v>0.497475</v>
      </c>
      <c r="J71" s="251" t="s">
        <v>99</v>
      </c>
      <c r="K71" s="252"/>
      <c r="L71" s="252"/>
      <c r="M71" s="252"/>
      <c r="N71" s="252"/>
      <c r="O71" s="252"/>
      <c r="P71" s="252"/>
      <c r="Q71" s="252"/>
      <c r="R71" s="252"/>
      <c r="S71" s="252"/>
      <c r="T71" s="252"/>
      <c r="U71" s="252"/>
      <c r="V71" s="252"/>
      <c r="W71" s="252"/>
      <c r="X71" s="252"/>
      <c r="Y71" s="252"/>
      <c r="Z71" s="252"/>
      <c r="AA71" s="252"/>
      <c r="AB71" s="252"/>
      <c r="AC71" s="253"/>
      <c r="AD71" s="45" t="s">
        <v>41</v>
      </c>
    </row>
    <row r="72" spans="1:31" x14ac:dyDescent="0.15">
      <c r="B72" s="272" t="s">
        <v>177</v>
      </c>
      <c r="C72" s="216" t="s">
        <v>41</v>
      </c>
      <c r="D72" s="45" t="s">
        <v>75</v>
      </c>
      <c r="E72" s="94">
        <v>1</v>
      </c>
      <c r="F72" s="94">
        <f t="shared" ref="F72:O72" si="21">$N$5*(F70*100)^$O$5/$P$5</f>
        <v>1.0032908495138475</v>
      </c>
      <c r="G72" s="94">
        <f t="shared" si="21"/>
        <v>1.0072405874931165</v>
      </c>
      <c r="H72" s="94">
        <f t="shared" si="21"/>
        <v>1.0118647461317642</v>
      </c>
      <c r="I72" s="94">
        <f t="shared" si="21"/>
        <v>1.0172539842928507</v>
      </c>
      <c r="J72" s="94">
        <f t="shared" si="21"/>
        <v>0.93257028192239777</v>
      </c>
      <c r="K72" s="94">
        <f t="shared" si="21"/>
        <v>0.93881145675274069</v>
      </c>
      <c r="L72" s="94">
        <f t="shared" si="21"/>
        <v>0.94581875175046171</v>
      </c>
      <c r="M72" s="94">
        <f t="shared" si="21"/>
        <v>0.95356174400110283</v>
      </c>
      <c r="N72" s="94">
        <f t="shared" si="21"/>
        <v>0.96207454705603723</v>
      </c>
      <c r="O72" s="94">
        <f t="shared" si="21"/>
        <v>0.97146143335296098</v>
      </c>
      <c r="P72" s="103">
        <v>1</v>
      </c>
      <c r="Q72" s="94">
        <f>$N$5*(Q70*100)^$O$5/R58</f>
        <v>1.011352398436014</v>
      </c>
      <c r="R72" s="94">
        <f>$N$5*(R70*100)^$O$5/R58</f>
        <v>1.0237530055085111</v>
      </c>
      <c r="S72" s="94">
        <f>$N$5*(S70*100)^$O$5/R58</f>
        <v>1.0371969086449884</v>
      </c>
      <c r="T72" s="94">
        <f>$N$5*(T70*100)^$O$5/R58</f>
        <v>1.0517555582306914</v>
      </c>
      <c r="U72" s="94">
        <f>$N$5*(U70*100)^$O$5/R58</f>
        <v>1.0675875265678936</v>
      </c>
      <c r="V72" s="94">
        <f>$N$5*(V70*100)^$O$5/R58</f>
        <v>1.0847103853356836</v>
      </c>
      <c r="W72" s="94">
        <f>$N$5*(W70*100)^$O$5/R58</f>
        <v>1.1032272495443294</v>
      </c>
      <c r="X72" s="94">
        <f>$N$5*(X70*100)^$O$5/R58</f>
        <v>1.1233414963277191</v>
      </c>
      <c r="Y72" s="94">
        <f>$N$5*(Y70*100)^$O$5/R58</f>
        <v>1.1451058352665267</v>
      </c>
      <c r="Z72" s="94">
        <f>$N$5*(Z70*100)^$O$5/R58</f>
        <v>1.1686722134916412</v>
      </c>
      <c r="AA72" s="94">
        <f>$N$5*(AA70*100)^$O$5/R58</f>
        <v>1.1943123376761466</v>
      </c>
      <c r="AB72" s="94">
        <f>$N$5*(AB70*100)^$O$5/R58</f>
        <v>1.2221366277854011</v>
      </c>
      <c r="AC72" s="94">
        <f>$N$5*(AC70*100)^$O$5/R58</f>
        <v>1.2523760735671796</v>
      </c>
      <c r="AD72" s="45" t="s">
        <v>41</v>
      </c>
    </row>
    <row r="73" spans="1:31" x14ac:dyDescent="0.15">
      <c r="B73" s="271"/>
      <c r="C73" s="216"/>
      <c r="D73" s="156" t="s">
        <v>53</v>
      </c>
      <c r="E73" s="94">
        <v>1</v>
      </c>
      <c r="F73" s="94">
        <f>$N$6*(F71*100)^$O$6/$P$6</f>
        <v>1.0030430207679342</v>
      </c>
      <c r="G73" s="94">
        <f>$N$6*(G71*100)^$O$6/$P$6</f>
        <v>1.0067204037572224</v>
      </c>
      <c r="H73" s="94">
        <f>$N$6*(H71*100)^$O$6/$P$6</f>
        <v>1.0110466171573078</v>
      </c>
      <c r="I73" s="94">
        <f>$N$6*(I71*100)^$O$6/$P$6</f>
        <v>1.0160389002290215</v>
      </c>
      <c r="J73" s="254" t="s">
        <v>99</v>
      </c>
      <c r="K73" s="255"/>
      <c r="L73" s="255"/>
      <c r="M73" s="255"/>
      <c r="N73" s="255"/>
      <c r="O73" s="255"/>
      <c r="P73" s="255"/>
      <c r="Q73" s="255"/>
      <c r="R73" s="255"/>
      <c r="S73" s="255"/>
      <c r="T73" s="255"/>
      <c r="U73" s="255"/>
      <c r="V73" s="255"/>
      <c r="W73" s="255"/>
      <c r="X73" s="255"/>
      <c r="Y73" s="255"/>
      <c r="Z73" s="255"/>
      <c r="AA73" s="255"/>
      <c r="AB73" s="255"/>
      <c r="AC73" s="256"/>
      <c r="AD73" s="45" t="s">
        <v>41</v>
      </c>
    </row>
    <row r="74" spans="1:31" x14ac:dyDescent="0.15">
      <c r="A74" t="s">
        <v>254</v>
      </c>
      <c r="B74" s="272" t="s">
        <v>93</v>
      </c>
      <c r="C74" s="216" t="s">
        <v>80</v>
      </c>
      <c r="D74" s="45" t="s">
        <v>75</v>
      </c>
      <c r="E74" s="143">
        <f t="shared" ref="E74:I75" si="22">E66*E72*$C5*365/1000000</f>
        <v>111.1425</v>
      </c>
      <c r="F74" s="143">
        <f t="shared" si="22"/>
        <v>111.13390410620862</v>
      </c>
      <c r="G74" s="143">
        <f t="shared" si="22"/>
        <v>111.12362518041571</v>
      </c>
      <c r="H74" s="143">
        <f t="shared" si="22"/>
        <v>111.11164341638622</v>
      </c>
      <c r="I74" s="143">
        <f t="shared" si="22"/>
        <v>111.09774975779159</v>
      </c>
      <c r="J74" s="143">
        <f t="shared" ref="J74:O74" si="23">J68*J72*$C5*365/1000000</f>
        <v>111.32530695910449</v>
      </c>
      <c r="K74" s="143">
        <f t="shared" si="23"/>
        <v>111.3078274736752</v>
      </c>
      <c r="L74" s="143">
        <f t="shared" si="23"/>
        <v>111.28834351431701</v>
      </c>
      <c r="M74" s="143">
        <f t="shared" si="23"/>
        <v>111.26698502537626</v>
      </c>
      <c r="N74" s="143">
        <f t="shared" si="23"/>
        <v>111.24370697820387</v>
      </c>
      <c r="O74" s="143">
        <f t="shared" si="23"/>
        <v>111.21828192928058</v>
      </c>
      <c r="P74" s="144">
        <f>P68*P72*$D58*365/1000000</f>
        <v>67.95794475000001</v>
      </c>
      <c r="Q74" s="143">
        <f>Q68*Q72*D58*365/1000000</f>
        <v>67.9398875724455</v>
      </c>
      <c r="R74" s="143">
        <f>R68*R72*D58*365/1000000</f>
        <v>67.920398677760502</v>
      </c>
      <c r="S74" s="143">
        <f>S68*S72*D58*365/1000000</f>
        <v>67.8995412426965</v>
      </c>
      <c r="T74" s="143">
        <f>T68*T72*D58*365/1000000</f>
        <v>67.877264154645545</v>
      </c>
      <c r="U74" s="143">
        <f>U68*U72*D58*365/1000000</f>
        <v>67.853394125603245</v>
      </c>
      <c r="V74" s="143">
        <f>V68*V72*D58*365/1000000</f>
        <v>67.827982259365413</v>
      </c>
      <c r="W74" s="143">
        <f>W68*W72*D58*365/1000000</f>
        <v>67.800959573531557</v>
      </c>
      <c r="X74" s="143">
        <f>X68*X72*D58*365/1000000</f>
        <v>67.772126812740865</v>
      </c>
      <c r="Y74" s="143">
        <f>Y68*Y72*D58*365/1000000</f>
        <v>67.741518006094623</v>
      </c>
      <c r="Z74" s="143">
        <f>Z68*Z72*D58*365/1000000</f>
        <v>67.70903918736623</v>
      </c>
      <c r="AA74" s="143">
        <f>AA68*AA72*D58*365/1000000</f>
        <v>67.674455183620452</v>
      </c>
      <c r="AB74" s="143">
        <f>AB68*AB72*D58*365/1000000</f>
        <v>67.637774622337659</v>
      </c>
      <c r="AC74" s="143">
        <f>AC68*AC72*D58*365/1000000</f>
        <v>67.598867115890258</v>
      </c>
      <c r="AD74" s="11">
        <f t="shared" ref="AD74:AD79" si="24">SUM(E74:AC74)</f>
        <v>2172.4710276248575</v>
      </c>
    </row>
    <row r="75" spans="1:31" x14ac:dyDescent="0.15">
      <c r="A75" s="207" t="s">
        <v>255</v>
      </c>
      <c r="B75" s="271"/>
      <c r="C75" s="216"/>
      <c r="D75" s="156" t="s">
        <v>53</v>
      </c>
      <c r="E75" s="143">
        <f t="shared" si="22"/>
        <v>26.608499999999999</v>
      </c>
      <c r="F75" s="143">
        <f t="shared" si="22"/>
        <v>26.600505317376566</v>
      </c>
      <c r="G75" s="143">
        <f t="shared" si="22"/>
        <v>26.590879517709304</v>
      </c>
      <c r="H75" s="143">
        <f t="shared" si="22"/>
        <v>26.579604705678662</v>
      </c>
      <c r="I75" s="143">
        <f t="shared" si="22"/>
        <v>26.566659711413688</v>
      </c>
      <c r="J75" s="251" t="s">
        <v>99</v>
      </c>
      <c r="K75" s="252"/>
      <c r="L75" s="252"/>
      <c r="M75" s="252"/>
      <c r="N75" s="252"/>
      <c r="O75" s="252"/>
      <c r="P75" s="252"/>
      <c r="Q75" s="252"/>
      <c r="R75" s="252"/>
      <c r="S75" s="252"/>
      <c r="T75" s="252"/>
      <c r="U75" s="252"/>
      <c r="V75" s="252"/>
      <c r="W75" s="252"/>
      <c r="X75" s="252"/>
      <c r="Y75" s="252"/>
      <c r="Z75" s="252"/>
      <c r="AA75" s="252"/>
      <c r="AB75" s="252"/>
      <c r="AC75" s="253"/>
      <c r="AD75" s="11">
        <f t="shared" si="24"/>
        <v>132.9461492521782</v>
      </c>
    </row>
    <row r="76" spans="1:31" ht="13.5" customHeight="1" x14ac:dyDescent="0.15">
      <c r="A76" t="s">
        <v>256</v>
      </c>
      <c r="B76" s="170" t="s">
        <v>94</v>
      </c>
      <c r="C76" s="216"/>
      <c r="D76" s="45" t="s">
        <v>75</v>
      </c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208">
        <f>$H$5*(P64)^$I$5/1000*(1+23.8/33.4)</f>
        <v>1195.9316493797346</v>
      </c>
      <c r="P76" s="71"/>
      <c r="Q76" s="61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  <c r="AC76" s="64"/>
      <c r="AD76" s="11">
        <f t="shared" si="24"/>
        <v>1195.9316493797346</v>
      </c>
      <c r="AE76" s="1"/>
    </row>
    <row r="77" spans="1:31" ht="13.5" customHeight="1" x14ac:dyDescent="0.15">
      <c r="A77" t="s">
        <v>257</v>
      </c>
      <c r="B77" s="271" t="s">
        <v>106</v>
      </c>
      <c r="C77" s="216"/>
      <c r="D77" s="40" t="s">
        <v>105</v>
      </c>
      <c r="E77" s="64"/>
      <c r="F77" s="64"/>
      <c r="G77" s="64"/>
      <c r="H77" s="64"/>
      <c r="I77" s="95">
        <f>J5*J6+L5*L6</f>
        <v>814</v>
      </c>
      <c r="J77" s="164"/>
      <c r="K77" s="64"/>
      <c r="L77" s="64"/>
      <c r="M77" s="64"/>
      <c r="N77" s="64"/>
      <c r="O77" s="64"/>
      <c r="P77" s="63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11">
        <f t="shared" si="24"/>
        <v>814</v>
      </c>
    </row>
    <row r="78" spans="1:31" x14ac:dyDescent="0.15">
      <c r="A78" t="s">
        <v>258</v>
      </c>
      <c r="B78" s="271"/>
      <c r="C78" s="216"/>
      <c r="D78" s="40" t="s">
        <v>104</v>
      </c>
      <c r="E78" s="3"/>
      <c r="F78" s="3"/>
      <c r="G78" s="3"/>
      <c r="H78" s="3"/>
      <c r="I78" s="3"/>
      <c r="J78" s="146">
        <f>K5*K6+(M5*M6)/1000000</f>
        <v>5</v>
      </c>
      <c r="K78" s="56">
        <f>J78</f>
        <v>5</v>
      </c>
      <c r="L78" s="56">
        <f t="shared" ref="L78:AC78" si="25">K78</f>
        <v>5</v>
      </c>
      <c r="M78" s="56">
        <f t="shared" si="25"/>
        <v>5</v>
      </c>
      <c r="N78" s="56">
        <f t="shared" si="25"/>
        <v>5</v>
      </c>
      <c r="O78" s="56">
        <f t="shared" si="25"/>
        <v>5</v>
      </c>
      <c r="P78" s="56">
        <f t="shared" si="25"/>
        <v>5</v>
      </c>
      <c r="Q78" s="56">
        <f t="shared" si="25"/>
        <v>5</v>
      </c>
      <c r="R78" s="56">
        <f t="shared" si="25"/>
        <v>5</v>
      </c>
      <c r="S78" s="56">
        <f t="shared" si="25"/>
        <v>5</v>
      </c>
      <c r="T78" s="56">
        <f t="shared" si="25"/>
        <v>5</v>
      </c>
      <c r="U78" s="56">
        <f t="shared" si="25"/>
        <v>5</v>
      </c>
      <c r="V78" s="56">
        <f t="shared" si="25"/>
        <v>5</v>
      </c>
      <c r="W78" s="56">
        <f t="shared" si="25"/>
        <v>5</v>
      </c>
      <c r="X78" s="56">
        <f t="shared" si="25"/>
        <v>5</v>
      </c>
      <c r="Y78" s="56">
        <f t="shared" si="25"/>
        <v>5</v>
      </c>
      <c r="Z78" s="56">
        <f t="shared" si="25"/>
        <v>5</v>
      </c>
      <c r="AA78" s="56">
        <f t="shared" si="25"/>
        <v>5</v>
      </c>
      <c r="AB78" s="56">
        <f t="shared" si="25"/>
        <v>5</v>
      </c>
      <c r="AC78" s="56">
        <f t="shared" si="25"/>
        <v>5</v>
      </c>
      <c r="AD78" s="11">
        <f t="shared" si="24"/>
        <v>100</v>
      </c>
    </row>
    <row r="79" spans="1:31" x14ac:dyDescent="0.15">
      <c r="B79" s="169" t="s">
        <v>102</v>
      </c>
      <c r="C79" s="216"/>
      <c r="D79" s="47" t="s">
        <v>41</v>
      </c>
      <c r="E79" s="11">
        <f>SUM(E74:E78)</f>
        <v>137.751</v>
      </c>
      <c r="F79" s="11">
        <f t="shared" ref="F79:AC79" si="26">SUM(F74:F78)</f>
        <v>137.73440942358519</v>
      </c>
      <c r="G79" s="11">
        <f t="shared" si="26"/>
        <v>137.71450469812501</v>
      </c>
      <c r="H79" s="11">
        <f t="shared" si="26"/>
        <v>137.69124812206488</v>
      </c>
      <c r="I79" s="11">
        <f t="shared" si="26"/>
        <v>951.66440946920534</v>
      </c>
      <c r="J79" s="11">
        <f>SUM(J74:J78)</f>
        <v>116.32530695910449</v>
      </c>
      <c r="K79" s="11">
        <f t="shared" si="26"/>
        <v>116.3078274736752</v>
      </c>
      <c r="L79" s="11">
        <f t="shared" si="26"/>
        <v>116.28834351431701</v>
      </c>
      <c r="M79" s="11">
        <f t="shared" si="26"/>
        <v>116.26698502537626</v>
      </c>
      <c r="N79" s="11">
        <f t="shared" si="26"/>
        <v>116.24370697820387</v>
      </c>
      <c r="O79" s="11">
        <f t="shared" si="26"/>
        <v>1312.1499313090153</v>
      </c>
      <c r="P79" s="11">
        <f t="shared" si="26"/>
        <v>72.95794475000001</v>
      </c>
      <c r="Q79" s="11">
        <f t="shared" si="26"/>
        <v>72.9398875724455</v>
      </c>
      <c r="R79" s="11">
        <f t="shared" si="26"/>
        <v>72.920398677760502</v>
      </c>
      <c r="S79" s="11">
        <f t="shared" si="26"/>
        <v>72.8995412426965</v>
      </c>
      <c r="T79" s="11">
        <f t="shared" si="26"/>
        <v>72.877264154645545</v>
      </c>
      <c r="U79" s="11">
        <f t="shared" si="26"/>
        <v>72.853394125603245</v>
      </c>
      <c r="V79" s="11">
        <f t="shared" si="26"/>
        <v>72.827982259365413</v>
      </c>
      <c r="W79" s="11">
        <f t="shared" si="26"/>
        <v>72.800959573531557</v>
      </c>
      <c r="X79" s="11">
        <f t="shared" si="26"/>
        <v>72.772126812740865</v>
      </c>
      <c r="Y79" s="11">
        <f t="shared" si="26"/>
        <v>72.741518006094623</v>
      </c>
      <c r="Z79" s="11">
        <f t="shared" si="26"/>
        <v>72.70903918736623</v>
      </c>
      <c r="AA79" s="11">
        <f t="shared" si="26"/>
        <v>72.674455183620452</v>
      </c>
      <c r="AB79" s="11">
        <f t="shared" si="26"/>
        <v>72.637774622337659</v>
      </c>
      <c r="AC79" s="11">
        <f t="shared" si="26"/>
        <v>72.598867115890258</v>
      </c>
      <c r="AD79" s="11">
        <f t="shared" si="24"/>
        <v>4415.3488262567707</v>
      </c>
    </row>
    <row r="80" spans="1:31" x14ac:dyDescent="0.15">
      <c r="A80" t="s">
        <v>259</v>
      </c>
      <c r="B80" s="3" t="s">
        <v>103</v>
      </c>
      <c r="C80" s="216"/>
      <c r="D80" s="47" t="s">
        <v>41</v>
      </c>
      <c r="E80" s="11">
        <f>E79</f>
        <v>137.751</v>
      </c>
      <c r="F80" s="11">
        <f t="shared" ref="F80:AC80" si="27">E80+F79</f>
        <v>275.48540942358522</v>
      </c>
      <c r="G80" s="11">
        <f t="shared" si="27"/>
        <v>413.19991412171021</v>
      </c>
      <c r="H80" s="11">
        <f t="shared" si="27"/>
        <v>550.89116224377506</v>
      </c>
      <c r="I80" s="11">
        <f t="shared" si="27"/>
        <v>1502.5555717129805</v>
      </c>
      <c r="J80" s="11">
        <f t="shared" si="27"/>
        <v>1618.8808786720849</v>
      </c>
      <c r="K80" s="11">
        <f t="shared" si="27"/>
        <v>1735.1887061457601</v>
      </c>
      <c r="L80" s="11">
        <f t="shared" si="27"/>
        <v>1851.477049660077</v>
      </c>
      <c r="M80" s="11">
        <f t="shared" si="27"/>
        <v>1967.7440346854532</v>
      </c>
      <c r="N80" s="11">
        <f t="shared" si="27"/>
        <v>2083.9877416636573</v>
      </c>
      <c r="O80" s="11">
        <f t="shared" si="27"/>
        <v>3396.1376729726726</v>
      </c>
      <c r="P80" s="11">
        <f t="shared" si="27"/>
        <v>3469.0956177226726</v>
      </c>
      <c r="Q80" s="11">
        <f t="shared" si="27"/>
        <v>3542.0355052951181</v>
      </c>
      <c r="R80" s="11">
        <f t="shared" si="27"/>
        <v>3614.9559039728788</v>
      </c>
      <c r="S80" s="11">
        <f t="shared" si="27"/>
        <v>3687.8554452155754</v>
      </c>
      <c r="T80" s="11">
        <f t="shared" si="27"/>
        <v>3760.7327093702211</v>
      </c>
      <c r="U80" s="11">
        <f t="shared" si="27"/>
        <v>3833.5861034958243</v>
      </c>
      <c r="V80" s="11">
        <f t="shared" si="27"/>
        <v>3906.4140857551897</v>
      </c>
      <c r="W80" s="11">
        <f t="shared" si="27"/>
        <v>3979.2150453287213</v>
      </c>
      <c r="X80" s="11">
        <f t="shared" si="27"/>
        <v>4051.987172141462</v>
      </c>
      <c r="Y80" s="11">
        <f t="shared" si="27"/>
        <v>4124.7286901475563</v>
      </c>
      <c r="Z80" s="11">
        <f t="shared" si="27"/>
        <v>4197.4377293349226</v>
      </c>
      <c r="AA80" s="11">
        <f t="shared" si="27"/>
        <v>4270.1121845185426</v>
      </c>
      <c r="AB80" s="11">
        <f t="shared" si="27"/>
        <v>4342.7499591408805</v>
      </c>
      <c r="AC80" s="11">
        <f t="shared" si="27"/>
        <v>4415.3488262567707</v>
      </c>
      <c r="AD80" s="49">
        <f>AD79/COUNTA(E63:AC63)</f>
        <v>176.61395305027082</v>
      </c>
    </row>
    <row r="81" spans="2:30" x14ac:dyDescent="0.15">
      <c r="B81" t="s">
        <v>88</v>
      </c>
      <c r="C81" t="s">
        <v>182</v>
      </c>
      <c r="AD81" s="48" t="s">
        <v>115</v>
      </c>
    </row>
    <row r="82" spans="2:30" x14ac:dyDescent="0.15">
      <c r="B82" t="s">
        <v>206</v>
      </c>
      <c r="C82" t="s">
        <v>92</v>
      </c>
    </row>
    <row r="83" spans="2:30" x14ac:dyDescent="0.15">
      <c r="B83" t="s">
        <v>89</v>
      </c>
      <c r="C83" t="s">
        <v>209</v>
      </c>
    </row>
    <row r="84" spans="2:30" x14ac:dyDescent="0.15">
      <c r="B84" s="55" t="s">
        <v>177</v>
      </c>
      <c r="C84" s="51" t="s">
        <v>178</v>
      </c>
    </row>
    <row r="85" spans="2:30" ht="15.75" x14ac:dyDescent="0.15">
      <c r="B85" s="50" t="s">
        <v>93</v>
      </c>
      <c r="C85" t="s">
        <v>239</v>
      </c>
    </row>
    <row r="86" spans="2:30" x14ac:dyDescent="0.15">
      <c r="B86" s="55" t="s">
        <v>94</v>
      </c>
      <c r="C86" s="51" t="s">
        <v>183</v>
      </c>
    </row>
    <row r="87" spans="2:30" x14ac:dyDescent="0.15">
      <c r="B87" s="55" t="s">
        <v>107</v>
      </c>
      <c r="C87" s="51" t="s">
        <v>108</v>
      </c>
    </row>
    <row r="88" spans="2:30" x14ac:dyDescent="0.15">
      <c r="B88" t="s">
        <v>102</v>
      </c>
      <c r="C88" t="s">
        <v>95</v>
      </c>
    </row>
    <row r="89" spans="2:30" x14ac:dyDescent="0.15">
      <c r="B89" t="s">
        <v>103</v>
      </c>
      <c r="C89" s="51" t="s">
        <v>96</v>
      </c>
    </row>
    <row r="90" spans="2:30" outlineLevel="1" x14ac:dyDescent="0.15"/>
    <row r="91" spans="2:30" outlineLevel="1" x14ac:dyDescent="0.15"/>
    <row r="92" spans="2:30" outlineLevel="1" x14ac:dyDescent="0.15"/>
    <row r="93" spans="2:30" outlineLevel="1" x14ac:dyDescent="0.15"/>
    <row r="94" spans="2:30" outlineLevel="1" x14ac:dyDescent="0.15"/>
    <row r="95" spans="2:30" outlineLevel="1" x14ac:dyDescent="0.15"/>
    <row r="96" spans="2:30" outlineLevel="1" x14ac:dyDescent="0.15"/>
    <row r="97" outlineLevel="1" x14ac:dyDescent="0.15"/>
    <row r="98" outlineLevel="1" x14ac:dyDescent="0.15"/>
    <row r="99" outlineLevel="1" x14ac:dyDescent="0.15"/>
    <row r="100" outlineLevel="1" x14ac:dyDescent="0.15"/>
    <row r="101" outlineLevel="1" x14ac:dyDescent="0.15"/>
    <row r="102" outlineLevel="1" x14ac:dyDescent="0.15"/>
    <row r="103" outlineLevel="1" x14ac:dyDescent="0.15"/>
    <row r="104" outlineLevel="1" x14ac:dyDescent="0.15"/>
    <row r="105" outlineLevel="1" x14ac:dyDescent="0.15"/>
    <row r="106" outlineLevel="1" x14ac:dyDescent="0.15"/>
    <row r="107" outlineLevel="1" x14ac:dyDescent="0.15"/>
    <row r="108" outlineLevel="1" x14ac:dyDescent="0.15"/>
    <row r="113" spans="1:34" x14ac:dyDescent="0.15">
      <c r="AH113" s="48"/>
    </row>
    <row r="114" spans="1:34" s="53" customFormat="1" ht="25.5" customHeight="1" x14ac:dyDescent="0.15">
      <c r="F114" s="54" t="s">
        <v>113</v>
      </c>
    </row>
    <row r="115" spans="1:34" s="75" customFormat="1" x14ac:dyDescent="0.15">
      <c r="A115" s="215" t="s">
        <v>76</v>
      </c>
      <c r="B115" s="215" t="s">
        <v>77</v>
      </c>
      <c r="C115" s="276" t="s">
        <v>127</v>
      </c>
      <c r="D115" s="220"/>
      <c r="E115" s="257" t="s">
        <v>231</v>
      </c>
      <c r="F115" s="257" t="s">
        <v>219</v>
      </c>
      <c r="G115" s="257" t="s">
        <v>220</v>
      </c>
      <c r="H115" s="249" t="s">
        <v>130</v>
      </c>
      <c r="I115" s="249" t="s">
        <v>131</v>
      </c>
    </row>
    <row r="116" spans="1:34" s="75" customFormat="1" x14ac:dyDescent="0.15">
      <c r="A116" s="227"/>
      <c r="B116" s="227"/>
      <c r="C116" s="172" t="s">
        <v>83</v>
      </c>
      <c r="D116" s="76" t="s">
        <v>84</v>
      </c>
      <c r="E116" s="258"/>
      <c r="F116" s="258"/>
      <c r="G116" s="258"/>
      <c r="H116" s="250"/>
      <c r="I116" s="250"/>
    </row>
    <row r="117" spans="1:34" s="75" customFormat="1" x14ac:dyDescent="0.15">
      <c r="A117" s="173" t="s">
        <v>75</v>
      </c>
      <c r="B117" s="173" t="s">
        <v>78</v>
      </c>
      <c r="C117" s="134">
        <v>34.51</v>
      </c>
      <c r="D117" s="135">
        <v>-0.83399999999999996</v>
      </c>
      <c r="E117" s="77">
        <f>$C$117*(E16*100)^$D$117</f>
        <v>1.4397016426270861</v>
      </c>
      <c r="F117" s="11">
        <f>維持管理費等!G5</f>
        <v>1086726.6666666667</v>
      </c>
      <c r="G117" s="80">
        <f>F117/(E122*365)</f>
        <v>0.73333333333333339</v>
      </c>
      <c r="H117" s="21">
        <v>8.8000000000000004E-7</v>
      </c>
      <c r="I117" s="21">
        <v>1.6E-7</v>
      </c>
    </row>
    <row r="118" spans="1:34" x14ac:dyDescent="0.15">
      <c r="A118" s="156" t="s">
        <v>53</v>
      </c>
      <c r="B118" s="172" t="s">
        <v>226</v>
      </c>
      <c r="C118" s="134">
        <v>27.302</v>
      </c>
      <c r="D118" s="135">
        <v>-0.71799999999999997</v>
      </c>
      <c r="E118" s="77">
        <f>$C$118*(E17*100)^$D$118</f>
        <v>1.6310240552835016</v>
      </c>
      <c r="F118" s="11">
        <f>維持管理費等!G6</f>
        <v>443475</v>
      </c>
      <c r="G118" s="80">
        <f>F118/(E123*365)</f>
        <v>3</v>
      </c>
      <c r="H118" s="21">
        <v>8.8000000000000004E-7</v>
      </c>
      <c r="I118" s="21">
        <v>1.6E-7</v>
      </c>
      <c r="J118" s="159" t="s">
        <v>232</v>
      </c>
    </row>
    <row r="121" spans="1:34" ht="13.5" customHeight="1" thickBot="1" x14ac:dyDescent="0.2">
      <c r="B121" s="281" t="s">
        <v>63</v>
      </c>
      <c r="C121" s="282"/>
      <c r="D121" s="152" t="s">
        <v>34</v>
      </c>
      <c r="E121" s="19">
        <v>1</v>
      </c>
      <c r="F121" s="19">
        <v>2</v>
      </c>
      <c r="G121" s="19">
        <v>3</v>
      </c>
      <c r="H121" s="19">
        <v>4</v>
      </c>
      <c r="I121" s="19">
        <v>5</v>
      </c>
      <c r="J121" s="19">
        <v>6</v>
      </c>
      <c r="K121" s="19">
        <v>7</v>
      </c>
      <c r="L121" s="19">
        <v>8</v>
      </c>
      <c r="M121" s="19">
        <v>9</v>
      </c>
      <c r="N121" s="19">
        <v>10</v>
      </c>
      <c r="O121" s="19">
        <v>11</v>
      </c>
      <c r="P121" s="19">
        <v>12</v>
      </c>
      <c r="Q121" s="19">
        <v>13</v>
      </c>
      <c r="R121" s="19">
        <v>14</v>
      </c>
      <c r="S121" s="19">
        <v>15</v>
      </c>
      <c r="T121" s="19">
        <v>16</v>
      </c>
      <c r="U121" s="19">
        <v>17</v>
      </c>
      <c r="V121" s="19">
        <v>18</v>
      </c>
      <c r="W121" s="19">
        <v>19</v>
      </c>
      <c r="X121" s="19">
        <v>20</v>
      </c>
      <c r="Y121" s="19">
        <v>21</v>
      </c>
      <c r="Z121" s="19">
        <v>22</v>
      </c>
      <c r="AA121" s="19">
        <v>23</v>
      </c>
      <c r="AB121" s="19">
        <v>24</v>
      </c>
      <c r="AC121" s="19">
        <v>25</v>
      </c>
      <c r="AD121" s="171" t="s">
        <v>85</v>
      </c>
    </row>
    <row r="122" spans="1:34" ht="14.25" customHeight="1" thickTop="1" x14ac:dyDescent="0.15">
      <c r="B122" s="274" t="s">
        <v>215</v>
      </c>
      <c r="C122" s="275" t="s">
        <v>97</v>
      </c>
      <c r="D122" s="46" t="s">
        <v>116</v>
      </c>
      <c r="E122" s="136">
        <f t="shared" ref="E122:AC122" si="28">E13</f>
        <v>4060</v>
      </c>
      <c r="F122" s="136">
        <f t="shared" si="28"/>
        <v>4046.37</v>
      </c>
      <c r="G122" s="136">
        <f t="shared" si="28"/>
        <v>4030.13</v>
      </c>
      <c r="H122" s="136">
        <f t="shared" si="28"/>
        <v>4011.28</v>
      </c>
      <c r="I122" s="136">
        <f t="shared" si="28"/>
        <v>3989.53</v>
      </c>
      <c r="J122" s="136">
        <f t="shared" si="28"/>
        <v>3965.17</v>
      </c>
      <c r="K122" s="136">
        <f t="shared" si="28"/>
        <v>3938.2</v>
      </c>
      <c r="L122" s="136">
        <f t="shared" si="28"/>
        <v>3908.33</v>
      </c>
      <c r="M122" s="136">
        <f t="shared" si="28"/>
        <v>3875.85</v>
      </c>
      <c r="N122" s="136">
        <f t="shared" si="28"/>
        <v>3840.76</v>
      </c>
      <c r="O122" s="136">
        <f t="shared" si="28"/>
        <v>3802.77</v>
      </c>
      <c r="P122" s="136">
        <f t="shared" si="28"/>
        <v>3762.17</v>
      </c>
      <c r="Q122" s="136">
        <f t="shared" si="28"/>
        <v>3718.96</v>
      </c>
      <c r="R122" s="136">
        <f t="shared" si="28"/>
        <v>3672.85</v>
      </c>
      <c r="S122" s="136">
        <f t="shared" si="28"/>
        <v>3624.13</v>
      </c>
      <c r="T122" s="136">
        <f t="shared" si="28"/>
        <v>3572.8</v>
      </c>
      <c r="U122" s="136">
        <f t="shared" si="28"/>
        <v>3518.57</v>
      </c>
      <c r="V122" s="136">
        <f t="shared" si="28"/>
        <v>3461.73</v>
      </c>
      <c r="W122" s="136">
        <f t="shared" si="28"/>
        <v>3402.28</v>
      </c>
      <c r="X122" s="136">
        <f t="shared" si="28"/>
        <v>3339.93</v>
      </c>
      <c r="Y122" s="136">
        <f t="shared" si="28"/>
        <v>3274.97</v>
      </c>
      <c r="Z122" s="136">
        <f t="shared" si="28"/>
        <v>3207.4</v>
      </c>
      <c r="AA122" s="136">
        <f t="shared" si="28"/>
        <v>3136.93</v>
      </c>
      <c r="AB122" s="136">
        <f t="shared" si="28"/>
        <v>3063.85</v>
      </c>
      <c r="AC122" s="136">
        <f t="shared" si="28"/>
        <v>2988.16</v>
      </c>
      <c r="AD122" s="136"/>
    </row>
    <row r="123" spans="1:34" x14ac:dyDescent="0.15">
      <c r="B123" s="263"/>
      <c r="C123" s="265"/>
      <c r="D123" s="156" t="s">
        <v>53</v>
      </c>
      <c r="E123" s="13">
        <f t="shared" ref="E123:AC123" si="29">E14</f>
        <v>405</v>
      </c>
      <c r="F123" s="13">
        <f t="shared" si="29"/>
        <v>403.65</v>
      </c>
      <c r="G123" s="13">
        <f t="shared" si="29"/>
        <v>402.03</v>
      </c>
      <c r="H123" s="13">
        <f t="shared" si="29"/>
        <v>400.14</v>
      </c>
      <c r="I123" s="13">
        <f t="shared" si="29"/>
        <v>397.98</v>
      </c>
      <c r="J123" s="13">
        <f t="shared" si="29"/>
        <v>395.55</v>
      </c>
      <c r="K123" s="13">
        <f t="shared" si="29"/>
        <v>392.85</v>
      </c>
      <c r="L123" s="13">
        <f t="shared" si="29"/>
        <v>389.88</v>
      </c>
      <c r="M123" s="13">
        <f t="shared" si="29"/>
        <v>386.64</v>
      </c>
      <c r="N123" s="13">
        <f t="shared" si="29"/>
        <v>383.13</v>
      </c>
      <c r="O123" s="13">
        <f t="shared" si="29"/>
        <v>379.35</v>
      </c>
      <c r="P123" s="13">
        <f t="shared" si="29"/>
        <v>375.3</v>
      </c>
      <c r="Q123" s="13">
        <f t="shared" si="29"/>
        <v>370.98</v>
      </c>
      <c r="R123" s="13">
        <f t="shared" si="29"/>
        <v>366.39</v>
      </c>
      <c r="S123" s="13">
        <f t="shared" si="29"/>
        <v>361.53</v>
      </c>
      <c r="T123" s="13">
        <f t="shared" si="29"/>
        <v>356.4</v>
      </c>
      <c r="U123" s="13">
        <f t="shared" si="29"/>
        <v>351</v>
      </c>
      <c r="V123" s="13">
        <f t="shared" si="29"/>
        <v>345.33</v>
      </c>
      <c r="W123" s="13">
        <f t="shared" si="29"/>
        <v>339.39</v>
      </c>
      <c r="X123" s="13">
        <f t="shared" si="29"/>
        <v>333.18</v>
      </c>
      <c r="Y123" s="13">
        <f t="shared" si="29"/>
        <v>326.7</v>
      </c>
      <c r="Z123" s="13">
        <f t="shared" si="29"/>
        <v>319.95</v>
      </c>
      <c r="AA123" s="13">
        <f t="shared" si="29"/>
        <v>312.93</v>
      </c>
      <c r="AB123" s="13">
        <f t="shared" si="29"/>
        <v>305.64</v>
      </c>
      <c r="AC123" s="13">
        <f t="shared" si="29"/>
        <v>298.08</v>
      </c>
      <c r="AD123" s="4"/>
    </row>
    <row r="124" spans="1:34" ht="13.5" customHeight="1" x14ac:dyDescent="0.15">
      <c r="B124" s="263"/>
      <c r="C124" s="261" t="s">
        <v>98</v>
      </c>
      <c r="D124" s="3" t="s">
        <v>116</v>
      </c>
      <c r="E124" s="13">
        <f>+E66</f>
        <v>4060</v>
      </c>
      <c r="F124" s="13">
        <f>+F66</f>
        <v>4046.37</v>
      </c>
      <c r="G124" s="13">
        <f>+G66</f>
        <v>4030.13</v>
      </c>
      <c r="H124" s="13">
        <f>+H66</f>
        <v>4011.28</v>
      </c>
      <c r="I124" s="13">
        <f>+I66</f>
        <v>3989.53</v>
      </c>
      <c r="J124" s="153">
        <f t="shared" ref="J124:AC124" si="30">J68</f>
        <v>4360.72</v>
      </c>
      <c r="K124" s="153">
        <f t="shared" si="30"/>
        <v>4331.05</v>
      </c>
      <c r="L124" s="153">
        <f t="shared" si="30"/>
        <v>4298.21</v>
      </c>
      <c r="M124" s="153">
        <f t="shared" si="30"/>
        <v>4262.49</v>
      </c>
      <c r="N124" s="153">
        <f t="shared" si="30"/>
        <v>4223.8900000000003</v>
      </c>
      <c r="O124" s="153">
        <f t="shared" si="30"/>
        <v>4182.12</v>
      </c>
      <c r="P124" s="153">
        <f t="shared" si="30"/>
        <v>4137.47</v>
      </c>
      <c r="Q124" s="153">
        <f t="shared" si="30"/>
        <v>4089.94</v>
      </c>
      <c r="R124" s="153">
        <f t="shared" si="30"/>
        <v>4039.24</v>
      </c>
      <c r="S124" s="153">
        <f t="shared" si="30"/>
        <v>3985.66</v>
      </c>
      <c r="T124" s="153">
        <f t="shared" si="30"/>
        <v>3929.2000000000003</v>
      </c>
      <c r="U124" s="153">
        <f t="shared" si="30"/>
        <v>3869.57</v>
      </c>
      <c r="V124" s="153">
        <f t="shared" si="30"/>
        <v>3807.06</v>
      </c>
      <c r="W124" s="153">
        <f t="shared" si="30"/>
        <v>3741.67</v>
      </c>
      <c r="X124" s="153">
        <f t="shared" si="30"/>
        <v>3673.1099999999997</v>
      </c>
      <c r="Y124" s="153">
        <f t="shared" si="30"/>
        <v>3601.6699999999996</v>
      </c>
      <c r="Z124" s="153">
        <f t="shared" si="30"/>
        <v>3527.35</v>
      </c>
      <c r="AA124" s="153">
        <f t="shared" si="30"/>
        <v>3449.8599999999997</v>
      </c>
      <c r="AB124" s="153">
        <f t="shared" si="30"/>
        <v>3369.49</v>
      </c>
      <c r="AC124" s="153">
        <f t="shared" si="30"/>
        <v>3286.24</v>
      </c>
      <c r="AD124" s="4"/>
    </row>
    <row r="125" spans="1:34" x14ac:dyDescent="0.15">
      <c r="B125" s="228"/>
      <c r="C125" s="262"/>
      <c r="D125" s="156" t="s">
        <v>53</v>
      </c>
      <c r="E125" s="13">
        <f>E67</f>
        <v>405</v>
      </c>
      <c r="F125" s="13">
        <f>F67</f>
        <v>403.65</v>
      </c>
      <c r="G125" s="13">
        <f>G67</f>
        <v>402.03</v>
      </c>
      <c r="H125" s="13">
        <f>H67</f>
        <v>400.14</v>
      </c>
      <c r="I125" s="13">
        <f>I67</f>
        <v>397.98</v>
      </c>
      <c r="J125" s="246" t="s">
        <v>214</v>
      </c>
      <c r="K125" s="247"/>
      <c r="L125" s="247"/>
      <c r="M125" s="247"/>
      <c r="N125" s="247"/>
      <c r="O125" s="247"/>
      <c r="P125" s="247"/>
      <c r="Q125" s="247"/>
      <c r="R125" s="247"/>
      <c r="S125" s="247"/>
      <c r="T125" s="247"/>
      <c r="U125" s="247"/>
      <c r="V125" s="247"/>
      <c r="W125" s="247"/>
      <c r="X125" s="247"/>
      <c r="Y125" s="247"/>
      <c r="Z125" s="247"/>
      <c r="AA125" s="247"/>
      <c r="AB125" s="247"/>
      <c r="AC125" s="248"/>
      <c r="AD125" s="4"/>
    </row>
    <row r="126" spans="1:34" ht="13.5" customHeight="1" x14ac:dyDescent="0.15">
      <c r="B126" s="221" t="s">
        <v>54</v>
      </c>
      <c r="C126" s="264" t="s">
        <v>97</v>
      </c>
      <c r="D126" s="7" t="s">
        <v>116</v>
      </c>
      <c r="E126" s="18">
        <f t="shared" ref="E126:AC126" si="31">E16</f>
        <v>0.45111111111111113</v>
      </c>
      <c r="F126" s="18">
        <f t="shared" si="31"/>
        <v>0.44959666666666664</v>
      </c>
      <c r="G126" s="18">
        <f t="shared" si="31"/>
        <v>0.44779222222222226</v>
      </c>
      <c r="H126" s="83">
        <f t="shared" si="31"/>
        <v>0.4456977777777778</v>
      </c>
      <c r="I126" s="83">
        <f t="shared" si="31"/>
        <v>0.44328111111111113</v>
      </c>
      <c r="J126" s="83">
        <f t="shared" si="31"/>
        <v>0.44057444444444444</v>
      </c>
      <c r="K126" s="83">
        <f t="shared" si="31"/>
        <v>0.43757777777777773</v>
      </c>
      <c r="L126" s="83">
        <f t="shared" si="31"/>
        <v>0.43425888888888886</v>
      </c>
      <c r="M126" s="83">
        <f t="shared" si="31"/>
        <v>0.43064999999999998</v>
      </c>
      <c r="N126" s="83">
        <f t="shared" si="31"/>
        <v>0.42675111111111114</v>
      </c>
      <c r="O126" s="83">
        <f t="shared" si="31"/>
        <v>0.42253000000000002</v>
      </c>
      <c r="P126" s="83">
        <f t="shared" si="31"/>
        <v>0.68403090909090913</v>
      </c>
      <c r="Q126" s="18">
        <f t="shared" si="31"/>
        <v>0.67617454545454547</v>
      </c>
      <c r="R126" s="18">
        <f t="shared" si="31"/>
        <v>0.6677909090909091</v>
      </c>
      <c r="S126" s="18">
        <f t="shared" si="31"/>
        <v>0.65893272727272734</v>
      </c>
      <c r="T126" s="18">
        <f t="shared" si="31"/>
        <v>0.64960000000000007</v>
      </c>
      <c r="U126" s="18">
        <f t="shared" si="31"/>
        <v>0.63973999999999998</v>
      </c>
      <c r="V126" s="18">
        <f t="shared" si="31"/>
        <v>0.6294054545454546</v>
      </c>
      <c r="W126" s="18">
        <f t="shared" si="31"/>
        <v>0.61859636363636372</v>
      </c>
      <c r="X126" s="18">
        <f t="shared" si="31"/>
        <v>0.60726000000000002</v>
      </c>
      <c r="Y126" s="18">
        <f t="shared" si="31"/>
        <v>0.59544909090909093</v>
      </c>
      <c r="Z126" s="18">
        <f t="shared" si="31"/>
        <v>0.58316363636363633</v>
      </c>
      <c r="AA126" s="18">
        <f t="shared" si="31"/>
        <v>0.57035090909090902</v>
      </c>
      <c r="AB126" s="18">
        <f t="shared" si="31"/>
        <v>0.55706363636363632</v>
      </c>
      <c r="AC126" s="18">
        <f t="shared" si="31"/>
        <v>0.54330181818181811</v>
      </c>
      <c r="AD126" s="13"/>
    </row>
    <row r="127" spans="1:34" x14ac:dyDescent="0.15">
      <c r="B127" s="263"/>
      <c r="C127" s="265"/>
      <c r="D127" s="156" t="s">
        <v>53</v>
      </c>
      <c r="E127" s="18">
        <f t="shared" ref="E127:AC127" si="32">E17</f>
        <v>0.50624999999999998</v>
      </c>
      <c r="F127" s="18">
        <f t="shared" si="32"/>
        <v>0.50456250000000002</v>
      </c>
      <c r="G127" s="18">
        <f t="shared" si="32"/>
        <v>0.50253749999999997</v>
      </c>
      <c r="H127" s="83">
        <f t="shared" si="32"/>
        <v>0.50017500000000004</v>
      </c>
      <c r="I127" s="83">
        <f t="shared" si="32"/>
        <v>0.497475</v>
      </c>
      <c r="J127" s="83">
        <f t="shared" si="32"/>
        <v>0.98887500000000006</v>
      </c>
      <c r="K127" s="83">
        <f t="shared" si="32"/>
        <v>0.98212500000000003</v>
      </c>
      <c r="L127" s="83">
        <f t="shared" si="32"/>
        <v>0.97470000000000001</v>
      </c>
      <c r="M127" s="83">
        <f t="shared" si="32"/>
        <v>0.96660000000000001</v>
      </c>
      <c r="N127" s="83">
        <f t="shared" si="32"/>
        <v>0.95782500000000004</v>
      </c>
      <c r="O127" s="83">
        <f t="shared" si="32"/>
        <v>0.94837500000000008</v>
      </c>
      <c r="P127" s="83">
        <f t="shared" si="32"/>
        <v>0.93825000000000003</v>
      </c>
      <c r="Q127" s="18">
        <f t="shared" si="32"/>
        <v>0.92745</v>
      </c>
      <c r="R127" s="18">
        <f t="shared" si="32"/>
        <v>0.91597499999999998</v>
      </c>
      <c r="S127" s="18">
        <f t="shared" si="32"/>
        <v>0.90382499999999988</v>
      </c>
      <c r="T127" s="18">
        <f t="shared" si="32"/>
        <v>0.8909999999999999</v>
      </c>
      <c r="U127" s="18">
        <f t="shared" si="32"/>
        <v>0.87749999999999995</v>
      </c>
      <c r="V127" s="18">
        <f t="shared" si="32"/>
        <v>0.86332500000000001</v>
      </c>
      <c r="W127" s="18">
        <f t="shared" si="32"/>
        <v>0.84847499999999998</v>
      </c>
      <c r="X127" s="18">
        <f t="shared" si="32"/>
        <v>0.83294999999999997</v>
      </c>
      <c r="Y127" s="18">
        <f t="shared" si="32"/>
        <v>0.81674999999999998</v>
      </c>
      <c r="Z127" s="18">
        <f t="shared" si="32"/>
        <v>0.799875</v>
      </c>
      <c r="AA127" s="18">
        <f t="shared" si="32"/>
        <v>0.78232500000000005</v>
      </c>
      <c r="AB127" s="18">
        <f t="shared" si="32"/>
        <v>0.7641</v>
      </c>
      <c r="AC127" s="18">
        <f t="shared" si="32"/>
        <v>0.74519999999999997</v>
      </c>
      <c r="AD127" s="4"/>
    </row>
    <row r="128" spans="1:34" x14ac:dyDescent="0.15">
      <c r="B128" s="263"/>
      <c r="C128" s="261" t="s">
        <v>98</v>
      </c>
      <c r="D128" s="3" t="s">
        <v>116</v>
      </c>
      <c r="E128" s="18">
        <f t="shared" ref="E128:AC128" si="33">E70</f>
        <v>0.45111111111111113</v>
      </c>
      <c r="F128" s="18">
        <f t="shared" si="33"/>
        <v>0.44959666666666664</v>
      </c>
      <c r="G128" s="18">
        <f t="shared" si="33"/>
        <v>0.44779222222222226</v>
      </c>
      <c r="H128" s="83">
        <f t="shared" si="33"/>
        <v>0.4456977777777778</v>
      </c>
      <c r="I128" s="83">
        <f t="shared" si="33"/>
        <v>0.44328111111111113</v>
      </c>
      <c r="J128" s="83">
        <f t="shared" si="33"/>
        <v>0.48452444444444448</v>
      </c>
      <c r="K128" s="83">
        <f t="shared" si="33"/>
        <v>0.48122777777777781</v>
      </c>
      <c r="L128" s="83">
        <f t="shared" si="33"/>
        <v>0.47757888888888889</v>
      </c>
      <c r="M128" s="83">
        <f t="shared" si="33"/>
        <v>0.47360999999999998</v>
      </c>
      <c r="N128" s="83">
        <f t="shared" si="33"/>
        <v>0.46932111111111113</v>
      </c>
      <c r="O128" s="83">
        <f t="shared" si="33"/>
        <v>0.46467999999999998</v>
      </c>
      <c r="P128" s="83">
        <f t="shared" si="33"/>
        <v>0.6895783333333334</v>
      </c>
      <c r="Q128" s="18">
        <f t="shared" si="33"/>
        <v>0.68165666666666669</v>
      </c>
      <c r="R128" s="18">
        <f t="shared" si="33"/>
        <v>0.67320666666666662</v>
      </c>
      <c r="S128" s="18">
        <f t="shared" si="33"/>
        <v>0.66427666666666663</v>
      </c>
      <c r="T128" s="18">
        <f t="shared" si="33"/>
        <v>0.65486666666666671</v>
      </c>
      <c r="U128" s="18">
        <f t="shared" si="33"/>
        <v>0.64492833333333333</v>
      </c>
      <c r="V128" s="18">
        <f t="shared" si="33"/>
        <v>0.63451000000000002</v>
      </c>
      <c r="W128" s="18">
        <f t="shared" si="33"/>
        <v>0.62361166666666668</v>
      </c>
      <c r="X128" s="18">
        <f t="shared" si="33"/>
        <v>0.61218499999999998</v>
      </c>
      <c r="Y128" s="18">
        <f t="shared" si="33"/>
        <v>0.60027833333333325</v>
      </c>
      <c r="Z128" s="18">
        <f t="shared" si="33"/>
        <v>0.5878916666666667</v>
      </c>
      <c r="AA128" s="18">
        <f t="shared" si="33"/>
        <v>0.57497666666666658</v>
      </c>
      <c r="AB128" s="18">
        <f t="shared" si="33"/>
        <v>0.56158166666666665</v>
      </c>
      <c r="AC128" s="18">
        <f t="shared" si="33"/>
        <v>0.54770666666666667</v>
      </c>
      <c r="AD128" s="4"/>
    </row>
    <row r="129" spans="2:30" x14ac:dyDescent="0.15">
      <c r="B129" s="228"/>
      <c r="C129" s="262"/>
      <c r="D129" s="156" t="s">
        <v>53</v>
      </c>
      <c r="E129" s="18">
        <f>E71</f>
        <v>0.50624999999999998</v>
      </c>
      <c r="F129" s="18">
        <f>F71</f>
        <v>0.50456250000000002</v>
      </c>
      <c r="G129" s="18">
        <f>G71</f>
        <v>0.50253749999999997</v>
      </c>
      <c r="H129" s="83">
        <f>H71</f>
        <v>0.50017500000000004</v>
      </c>
      <c r="I129" s="83">
        <f>I71</f>
        <v>0.497475</v>
      </c>
      <c r="J129" s="83"/>
      <c r="K129" s="83"/>
      <c r="L129" s="83"/>
      <c r="M129" s="83"/>
      <c r="N129" s="83"/>
      <c r="O129" s="83"/>
      <c r="P129" s="83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4"/>
    </row>
    <row r="130" spans="2:30" x14ac:dyDescent="0.15">
      <c r="B130" s="221" t="s">
        <v>203</v>
      </c>
      <c r="C130" s="264" t="s">
        <v>97</v>
      </c>
      <c r="D130" s="7" t="s">
        <v>116</v>
      </c>
      <c r="E130" s="137">
        <f>$C$117*(E126*100)^$D$117/$E$117</f>
        <v>1</v>
      </c>
      <c r="F130" s="137">
        <f t="shared" ref="F130:AC130" si="34">$C$117*(F16*100)^$D$117/$E$117</f>
        <v>1.0028085039265928</v>
      </c>
      <c r="G130" s="137">
        <f t="shared" si="34"/>
        <v>1.0061775424475379</v>
      </c>
      <c r="H130" s="138">
        <f t="shared" si="34"/>
        <v>1.0101193909711554</v>
      </c>
      <c r="I130" s="138">
        <f t="shared" si="34"/>
        <v>1.0147101039325135</v>
      </c>
      <c r="J130" s="138">
        <f t="shared" si="34"/>
        <v>1.0199065033744492</v>
      </c>
      <c r="K130" s="138">
        <f t="shared" si="34"/>
        <v>1.0257283842924256</v>
      </c>
      <c r="L130" s="138">
        <f t="shared" si="34"/>
        <v>1.0322622116998603</v>
      </c>
      <c r="M130" s="138">
        <f t="shared" si="34"/>
        <v>1.0394716917073248</v>
      </c>
      <c r="N130" s="138">
        <f t="shared" si="34"/>
        <v>1.0473860667594221</v>
      </c>
      <c r="O130" s="138">
        <f t="shared" si="34"/>
        <v>1.0561053987280655</v>
      </c>
      <c r="P130" s="138">
        <f t="shared" si="34"/>
        <v>0.70667430952327004</v>
      </c>
      <c r="Q130" s="137">
        <f t="shared" si="34"/>
        <v>0.71351548884506877</v>
      </c>
      <c r="R130" s="137">
        <f t="shared" si="34"/>
        <v>0.72097844359345853</v>
      </c>
      <c r="S130" s="137">
        <f t="shared" si="34"/>
        <v>0.72905282960701245</v>
      </c>
      <c r="T130" s="137">
        <f t="shared" si="34"/>
        <v>0.73777796747194935</v>
      </c>
      <c r="U130" s="137">
        <f t="shared" si="34"/>
        <v>0.7472493313949955</v>
      </c>
      <c r="V130" s="137">
        <f t="shared" si="34"/>
        <v>0.75746822653504486</v>
      </c>
      <c r="W130" s="137">
        <f t="shared" si="34"/>
        <v>0.76849088126439646</v>
      </c>
      <c r="X130" s="137">
        <f t="shared" si="34"/>
        <v>0.78043723209580973</v>
      </c>
      <c r="Y130" s="137">
        <f t="shared" si="34"/>
        <v>0.79332662915382468</v>
      </c>
      <c r="Z130" s="137">
        <f t="shared" si="34"/>
        <v>0.80724104516791317</v>
      </c>
      <c r="AA130" s="137">
        <f t="shared" si="34"/>
        <v>0.82233716042227889</v>
      </c>
      <c r="AB130" s="137">
        <f t="shared" si="34"/>
        <v>0.83866370380241695</v>
      </c>
      <c r="AC130" s="137">
        <f t="shared" si="34"/>
        <v>0.85634375122264916</v>
      </c>
      <c r="AD130" s="13"/>
    </row>
    <row r="131" spans="2:30" x14ac:dyDescent="0.15">
      <c r="B131" s="263"/>
      <c r="C131" s="265"/>
      <c r="D131" s="156" t="s">
        <v>53</v>
      </c>
      <c r="E131" s="137">
        <f t="shared" ref="E131:AC131" si="35">$C$118*(E17*100)^$D$118/$E$118</f>
        <v>1</v>
      </c>
      <c r="F131" s="137">
        <f t="shared" si="35"/>
        <v>1.0024002070045603</v>
      </c>
      <c r="G131" s="137">
        <f t="shared" si="35"/>
        <v>1.0052987233044739</v>
      </c>
      <c r="H131" s="137">
        <f t="shared" si="35"/>
        <v>1.008705790204325</v>
      </c>
      <c r="I131" s="137">
        <f t="shared" si="35"/>
        <v>1.0126335937072193</v>
      </c>
      <c r="J131" s="137">
        <f t="shared" si="35"/>
        <v>0.61833320997310559</v>
      </c>
      <c r="K131" s="137">
        <f t="shared" si="35"/>
        <v>0.62138155547824503</v>
      </c>
      <c r="L131" s="137">
        <f t="shared" si="35"/>
        <v>0.62477658129690328</v>
      </c>
      <c r="M131" s="137">
        <f t="shared" si="35"/>
        <v>0.62853128607622044</v>
      </c>
      <c r="N131" s="137">
        <f t="shared" si="35"/>
        <v>0.63266036443224116</v>
      </c>
      <c r="O131" s="137">
        <f t="shared" si="35"/>
        <v>0.63718036786823151</v>
      </c>
      <c r="P131" s="137">
        <f t="shared" si="35"/>
        <v>0.64210989208475089</v>
      </c>
      <c r="Q131" s="137">
        <f t="shared" si="35"/>
        <v>0.64746979498464374</v>
      </c>
      <c r="R131" s="137">
        <f t="shared" si="35"/>
        <v>0.65328345059372039</v>
      </c>
      <c r="S131" s="137">
        <f t="shared" si="35"/>
        <v>0.65957704525037164</v>
      </c>
      <c r="T131" s="137">
        <f t="shared" si="35"/>
        <v>0.66637992382392852</v>
      </c>
      <c r="U131" s="137">
        <f t="shared" si="35"/>
        <v>0.67372499547978981</v>
      </c>
      <c r="V131" s="137">
        <f t="shared" si="35"/>
        <v>0.68164921072145623</v>
      </c>
      <c r="W131" s="137">
        <f t="shared" si="35"/>
        <v>0.69019412424144833</v>
      </c>
      <c r="X131" s="137">
        <f t="shared" si="35"/>
        <v>0.69940656168656246</v>
      </c>
      <c r="Y131" s="137">
        <f t="shared" si="35"/>
        <v>0.70933941303362724</v>
      </c>
      <c r="Z131" s="137">
        <f t="shared" si="35"/>
        <v>0.72005258121454452</v>
      </c>
      <c r="AA131" s="137">
        <f t="shared" si="35"/>
        <v>0.73161412238396595</v>
      </c>
      <c r="AB131" s="137">
        <f t="shared" si="35"/>
        <v>0.74410162442846939</v>
      </c>
      <c r="AC131" s="137">
        <f t="shared" si="35"/>
        <v>0.75760388386913569</v>
      </c>
      <c r="AD131" s="4"/>
    </row>
    <row r="132" spans="2:30" x14ac:dyDescent="0.15">
      <c r="B132" s="263"/>
      <c r="C132" s="261" t="s">
        <v>98</v>
      </c>
      <c r="D132" s="3" t="s">
        <v>116</v>
      </c>
      <c r="E132" s="137">
        <f t="shared" ref="E132:AC132" si="36">$C$117*(E70*100)^$D$117/$E$117</f>
        <v>1</v>
      </c>
      <c r="F132" s="137">
        <f t="shared" si="36"/>
        <v>1.0028085039265928</v>
      </c>
      <c r="G132" s="137">
        <f t="shared" si="36"/>
        <v>1.0061775424475379</v>
      </c>
      <c r="H132" s="137">
        <f t="shared" si="36"/>
        <v>1.0101193909711554</v>
      </c>
      <c r="I132" s="137">
        <f t="shared" si="36"/>
        <v>1.0147101039325135</v>
      </c>
      <c r="J132" s="137">
        <f t="shared" si="36"/>
        <v>0.9421480894802674</v>
      </c>
      <c r="K132" s="137">
        <f t="shared" si="36"/>
        <v>0.94752785341467205</v>
      </c>
      <c r="L132" s="137">
        <f t="shared" si="36"/>
        <v>0.95356176403745496</v>
      </c>
      <c r="M132" s="137">
        <f t="shared" si="36"/>
        <v>0.96022157280912979</v>
      </c>
      <c r="N132" s="137">
        <f t="shared" si="36"/>
        <v>0.96753437530891251</v>
      </c>
      <c r="O132" s="137">
        <f t="shared" si="36"/>
        <v>0.97558707787791077</v>
      </c>
      <c r="P132" s="137">
        <f t="shared" si="36"/>
        <v>0.70192988085783004</v>
      </c>
      <c r="Q132" s="137">
        <f t="shared" si="36"/>
        <v>0.70872650784622471</v>
      </c>
      <c r="R132" s="137">
        <f t="shared" si="36"/>
        <v>0.71613794681735654</v>
      </c>
      <c r="S132" s="137">
        <f t="shared" si="36"/>
        <v>0.7241581037285636</v>
      </c>
      <c r="T132" s="137">
        <f t="shared" si="36"/>
        <v>0.73282614130583767</v>
      </c>
      <c r="U132" s="137">
        <f t="shared" si="36"/>
        <v>0.74223239263766716</v>
      </c>
      <c r="V132" s="137">
        <f t="shared" si="36"/>
        <v>0.75238265371612389</v>
      </c>
      <c r="W132" s="137">
        <f t="shared" si="36"/>
        <v>0.7633329158302935</v>
      </c>
      <c r="X132" s="137">
        <f t="shared" si="36"/>
        <v>0.77519738774357649</v>
      </c>
      <c r="Y132" s="137">
        <f t="shared" si="36"/>
        <v>0.78800021135331355</v>
      </c>
      <c r="Z132" s="137">
        <f t="shared" si="36"/>
        <v>0.80182299596332807</v>
      </c>
      <c r="AA132" s="137">
        <f t="shared" si="36"/>
        <v>0.81681588482191725</v>
      </c>
      <c r="AB132" s="137">
        <f t="shared" si="36"/>
        <v>0.83303276340742838</v>
      </c>
      <c r="AC132" s="137">
        <f t="shared" si="36"/>
        <v>0.85059613394285871</v>
      </c>
      <c r="AD132" s="4"/>
    </row>
    <row r="133" spans="2:30" x14ac:dyDescent="0.15">
      <c r="B133" s="228"/>
      <c r="C133" s="262"/>
      <c r="D133" s="156" t="s">
        <v>53</v>
      </c>
      <c r="E133" s="137">
        <f>$C$118*(E71*100)^$D$118/$E$118</f>
        <v>1</v>
      </c>
      <c r="F133" s="137">
        <f>$C$118*(F71*100)^$D$118/$E$118</f>
        <v>1.0024002070045603</v>
      </c>
      <c r="G133" s="137">
        <f>$C$118*(G71*100)^$D$118/$E$118</f>
        <v>1.0052987233044739</v>
      </c>
      <c r="H133" s="137">
        <f>$C$118*(H71*100)^$D$118/$E$118</f>
        <v>1.008705790204325</v>
      </c>
      <c r="I133" s="137">
        <f>$C$118*(I71*100)^$D$118/$E$118</f>
        <v>1.0126335937072193</v>
      </c>
      <c r="J133" s="137"/>
      <c r="K133" s="137"/>
      <c r="L133" s="137"/>
      <c r="M133" s="137"/>
      <c r="N133" s="137"/>
      <c r="O133" s="137"/>
      <c r="P133" s="137"/>
      <c r="Q133" s="137"/>
      <c r="R133" s="137"/>
      <c r="S133" s="137"/>
      <c r="T133" s="137"/>
      <c r="U133" s="137"/>
      <c r="V133" s="137"/>
      <c r="W133" s="137"/>
      <c r="X133" s="137"/>
      <c r="Y133" s="137"/>
      <c r="Z133" s="137"/>
      <c r="AA133" s="137"/>
      <c r="AB133" s="137"/>
      <c r="AC133" s="137"/>
      <c r="AD133" s="4"/>
    </row>
    <row r="134" spans="2:30" x14ac:dyDescent="0.15">
      <c r="B134" s="221" t="s">
        <v>133</v>
      </c>
      <c r="C134" s="264" t="s">
        <v>97</v>
      </c>
      <c r="D134" s="3" t="s">
        <v>116</v>
      </c>
      <c r="E134" s="78">
        <f>E122*G117*E130*365/1000</f>
        <v>1086.7266666666667</v>
      </c>
      <c r="F134" s="78">
        <f>F122*G117*F130*365/1000</f>
        <v>1086.1201998549527</v>
      </c>
      <c r="G134" s="78">
        <f>G122*G117*G130*365/1000</f>
        <v>1085.3953727375699</v>
      </c>
      <c r="H134" s="78">
        <f>H122*G117*H130*365/1000</f>
        <v>1084.5509945412221</v>
      </c>
      <c r="I134" s="78">
        <f>I122*G117*I130*365/1000</f>
        <v>1083.5725899854435</v>
      </c>
      <c r="J134" s="78">
        <f>J122*G117*J130*365/1000</f>
        <v>1082.4714813327225</v>
      </c>
      <c r="K134" s="78">
        <f>K122*G117*K130*365/1000</f>
        <v>1081.2457963284685</v>
      </c>
      <c r="L134" s="78">
        <f>L122*G117*L130*365/1000</f>
        <v>1079.8801199972972</v>
      </c>
      <c r="M134" s="78">
        <f>M122*G117*M130*365/1000</f>
        <v>1078.3851980373265</v>
      </c>
      <c r="N134" s="78">
        <f>N122*G117*N130*365/1000</f>
        <v>1076.7583611142786</v>
      </c>
      <c r="O134" s="78">
        <f>O122*G117*O130*365/1000</f>
        <v>1074.9830398260881</v>
      </c>
      <c r="P134" s="78">
        <f>P122*G117*P130*365/1000</f>
        <v>711.62633210283536</v>
      </c>
      <c r="Q134" s="78">
        <f>Q122*G117*Q130*365/1000</f>
        <v>710.26301886779709</v>
      </c>
      <c r="R134" s="78">
        <f>R122*G117*R130*365/1000</f>
        <v>708.79355942381471</v>
      </c>
      <c r="S134" s="78">
        <f>S122*G117*S130*365/1000</f>
        <v>707.22411059500701</v>
      </c>
      <c r="T134" s="78">
        <f>T122*G117*T130*365/1000</f>
        <v>705.55143237119205</v>
      </c>
      <c r="U134" s="78">
        <f>U122*G117*U130*365/1000</f>
        <v>703.7623370710304</v>
      </c>
      <c r="V134" s="78">
        <f>V122*G117*V130*365/1000</f>
        <v>701.86227950868613</v>
      </c>
      <c r="W134" s="78">
        <f>W122*G117*W130*365/1000</f>
        <v>699.84692929103642</v>
      </c>
      <c r="X134" s="78">
        <f>X122*G117*X130*365/1000</f>
        <v>697.70146561626257</v>
      </c>
      <c r="Y134" s="78">
        <f>Y122*G117*Y130*365/1000</f>
        <v>695.43036375865347</v>
      </c>
      <c r="Z134" s="78">
        <f>Z122*G117*Z130*365/1000</f>
        <v>693.02779246735565</v>
      </c>
      <c r="AA134" s="78">
        <f>AA122*G117*AA130*365/1000</f>
        <v>690.47670974689936</v>
      </c>
      <c r="AB134" s="78">
        <f>AB122*G117*AB130*365/1000</f>
        <v>687.78015016090444</v>
      </c>
      <c r="AC134" s="78">
        <f>AC122*G117*AC130*365/1000</f>
        <v>684.93013045124576</v>
      </c>
      <c r="AD134" s="4">
        <f>SUM(E134:AC134)</f>
        <v>21698.366431854753</v>
      </c>
    </row>
    <row r="135" spans="2:30" x14ac:dyDescent="0.15">
      <c r="B135" s="263"/>
      <c r="C135" s="265"/>
      <c r="D135" s="156" t="s">
        <v>53</v>
      </c>
      <c r="E135" s="78">
        <f>E123*G118*E131*365/1000</f>
        <v>443.47500000000002</v>
      </c>
      <c r="F135" s="78">
        <f>F123*G118*F131*365/1000</f>
        <v>443.05763369534282</v>
      </c>
      <c r="G135" s="78">
        <f>G123*G118*G131*365/1000</f>
        <v>442.55546907445682</v>
      </c>
      <c r="H135" s="78">
        <f>H123*G118*H131*365/1000</f>
        <v>441.96777070713279</v>
      </c>
      <c r="I135" s="78">
        <f>I123*G118*I131*365/1000</f>
        <v>441.29366979784106</v>
      </c>
      <c r="J135" s="78">
        <f>J123*G118*J131*365/1000</f>
        <v>267.81696281932381</v>
      </c>
      <c r="K135" s="78">
        <f>K123*G118*K131*365/1000</f>
        <v>267.30016975624329</v>
      </c>
      <c r="L135" s="78">
        <f>L123*G118*L131*365/1000</f>
        <v>266.72874340006013</v>
      </c>
      <c r="M135" s="78">
        <f>M123*G118*M131*365/1000</f>
        <v>266.10179341111831</v>
      </c>
      <c r="N135" s="78">
        <f>N123*G118*N131*365/1000</f>
        <v>265.41832614029232</v>
      </c>
      <c r="O135" s="78">
        <f>O123*G118*O131*365/1000</f>
        <v>264.67723794314094</v>
      </c>
      <c r="P135" s="78">
        <f>P123*G118*P131*365/1000</f>
        <v>263.87730753685076</v>
      </c>
      <c r="Q135" s="78">
        <f>Q123*G118*Q131*365/1000</f>
        <v>263.01718727502646</v>
      </c>
      <c r="R135" s="78">
        <f>R123*G118*R131*365/1000</f>
        <v>262.09539319202139</v>
      </c>
      <c r="S135" s="78">
        <f>S123*G118*S131*365/1000</f>
        <v>261.11029364045669</v>
      </c>
      <c r="T135" s="78">
        <f>T123*G118*T131*365/1000</f>
        <v>260.06009631167865</v>
      </c>
      <c r="U135" s="78">
        <f>U123*G118*U131*365/1000</f>
        <v>258.94283338767985</v>
      </c>
      <c r="V135" s="78">
        <f>V123*G118*V131*365/1000</f>
        <v>257.75634452259231</v>
      </c>
      <c r="W135" s="78">
        <f>W123*G118*W131*365/1000</f>
        <v>256.49825728980409</v>
      </c>
      <c r="X135" s="78">
        <f>X123*G118*X131*365/1000</f>
        <v>255.16596465388812</v>
      </c>
      <c r="Y135" s="78">
        <f>Y123*G118*Y131*365/1000</f>
        <v>253.75659893070417</v>
      </c>
      <c r="Z135" s="78">
        <f>Z123*G118*Z131*365/1000</f>
        <v>252.26700157875487</v>
      </c>
      <c r="AA135" s="78">
        <f>AA123*G118*AA131*365/1000</f>
        <v>250.69368801278782</v>
      </c>
      <c r="AB135" s="78">
        <f>AB123*G118*AB131*365/1000</f>
        <v>249.03280643689754</v>
      </c>
      <c r="AC135" s="78">
        <f>AC123*G118*AC131*365/1000</f>
        <v>247.28008944556461</v>
      </c>
      <c r="AD135" s="4">
        <f t="shared" ref="AD135:AD137" si="37">SUM(E135:AC135)</f>
        <v>7401.94663895966</v>
      </c>
    </row>
    <row r="136" spans="2:30" x14ac:dyDescent="0.15">
      <c r="B136" s="263"/>
      <c r="C136" s="261" t="s">
        <v>98</v>
      </c>
      <c r="D136" s="3" t="s">
        <v>116</v>
      </c>
      <c r="E136" s="78">
        <f>E124*G117*E132*365/1000</f>
        <v>1086.7266666666667</v>
      </c>
      <c r="F136" s="78">
        <f>F124*G117*F132*365/1000</f>
        <v>1086.1201998549527</v>
      </c>
      <c r="G136" s="78">
        <f>G124*G117*G132*365/1000</f>
        <v>1085.3953727375699</v>
      </c>
      <c r="H136" s="78">
        <f>H124*G117*H132*365/1000</f>
        <v>1084.5509945412221</v>
      </c>
      <c r="I136" s="78">
        <f>I124*G117*I132*365/1000</f>
        <v>1083.5725899854435</v>
      </c>
      <c r="J136" s="78">
        <f>J124*G117*J132*365/1000</f>
        <v>1099.6935151523296</v>
      </c>
      <c r="K136" s="78">
        <f>K124*G117*K132*365/1000</f>
        <v>1098.4479263846292</v>
      </c>
      <c r="L136" s="78">
        <f>L124*G117*L132*365/1000</f>
        <v>1097.0609313240511</v>
      </c>
      <c r="M136" s="78">
        <f>M124*G117*M132*365/1000</f>
        <v>1095.5422286874</v>
      </c>
      <c r="N136" s="78">
        <f>N124*G117*N132*365/1000</f>
        <v>1093.8890981121403</v>
      </c>
      <c r="O136" s="78">
        <f>O124*G117*O132*365/1000</f>
        <v>1092.085950266073</v>
      </c>
      <c r="P136" s="78">
        <f>P124*G117*P132*365/1000</f>
        <v>777.36123359824535</v>
      </c>
      <c r="Q136" s="78">
        <f>Q124*G117*Q132*365/1000</f>
        <v>775.87168716032431</v>
      </c>
      <c r="R136" s="78">
        <f>R124*G117*R132*365/1000</f>
        <v>774.26679712097962</v>
      </c>
      <c r="S136" s="78">
        <f>S124*G117*S132*365/1000</f>
        <v>772.55237804284991</v>
      </c>
      <c r="T136" s="78">
        <f>T124*G117*T132*365/1000</f>
        <v>770.72488031945829</v>
      </c>
      <c r="U136" s="78">
        <f>U124*G117*U132*365/1000</f>
        <v>768.77084008729571</v>
      </c>
      <c r="V136" s="78">
        <f>V124*G117*V132*365/1000</f>
        <v>766.69527408072497</v>
      </c>
      <c r="W136" s="78">
        <f>W124*G117*W132*365/1000</f>
        <v>764.49343885110397</v>
      </c>
      <c r="X136" s="78">
        <f>X124*G117*X132*365/1000</f>
        <v>762.15012578217693</v>
      </c>
      <c r="Y136" s="78">
        <f>Y124*G117*Y132*365/1000</f>
        <v>759.6692423811952</v>
      </c>
      <c r="Z136" s="78">
        <f>Z124*G117*Z132*365/1000</f>
        <v>757.04440229447664</v>
      </c>
      <c r="AA136" s="78">
        <f>AA124*G117*AA132*365/1000</f>
        <v>754.25802002487558</v>
      </c>
      <c r="AB136" s="78">
        <f>AB124*G117*AB132*365/1000</f>
        <v>751.31237982562584</v>
      </c>
      <c r="AC136" s="78">
        <f>AC124*G117*AC132*365/1000</f>
        <v>748.19874016144308</v>
      </c>
      <c r="AD136" s="4">
        <f t="shared" si="37"/>
        <v>22706.454913443249</v>
      </c>
    </row>
    <row r="137" spans="2:30" x14ac:dyDescent="0.15">
      <c r="B137" s="228"/>
      <c r="C137" s="262"/>
      <c r="D137" s="156" t="s">
        <v>53</v>
      </c>
      <c r="E137" s="78">
        <f>E125*G118*E133*365/1000</f>
        <v>443.47500000000002</v>
      </c>
      <c r="F137" s="78">
        <f>F125*G118*F133*365/1000</f>
        <v>443.05763369534282</v>
      </c>
      <c r="G137" s="78">
        <f>G125*G118*G133*365/1000</f>
        <v>442.55546907445682</v>
      </c>
      <c r="H137" s="78">
        <f>H125*G118*H133*365/1000</f>
        <v>441.96777070713279</v>
      </c>
      <c r="I137" s="78">
        <f>I125*G118*I133*365/1000</f>
        <v>441.29366979784106</v>
      </c>
      <c r="J137" s="78">
        <v>0</v>
      </c>
      <c r="K137" s="78">
        <v>0</v>
      </c>
      <c r="L137" s="78">
        <v>0</v>
      </c>
      <c r="M137" s="78">
        <v>0</v>
      </c>
      <c r="N137" s="78">
        <v>0</v>
      </c>
      <c r="O137" s="78">
        <v>0</v>
      </c>
      <c r="P137" s="78">
        <v>0</v>
      </c>
      <c r="Q137" s="78">
        <v>0</v>
      </c>
      <c r="R137" s="78">
        <v>0</v>
      </c>
      <c r="S137" s="78">
        <v>0</v>
      </c>
      <c r="T137" s="78">
        <v>0</v>
      </c>
      <c r="U137" s="78">
        <v>0</v>
      </c>
      <c r="V137" s="78">
        <v>0</v>
      </c>
      <c r="W137" s="78">
        <v>0</v>
      </c>
      <c r="X137" s="78">
        <v>0</v>
      </c>
      <c r="Y137" s="78">
        <v>0</v>
      </c>
      <c r="Z137" s="78">
        <v>0</v>
      </c>
      <c r="AA137" s="78">
        <v>0</v>
      </c>
      <c r="AB137" s="78">
        <v>0</v>
      </c>
      <c r="AC137" s="78">
        <v>0</v>
      </c>
      <c r="AD137" s="4">
        <f t="shared" si="37"/>
        <v>2212.3495432747736</v>
      </c>
    </row>
    <row r="138" spans="2:30" x14ac:dyDescent="0.15">
      <c r="B138" s="215" t="s">
        <v>133</v>
      </c>
      <c r="C138" s="242" t="s">
        <v>126</v>
      </c>
      <c r="D138" s="243"/>
      <c r="E138" s="74">
        <f t="shared" ref="E138:AC138" si="38">SUM(E134:E135)</f>
        <v>1530.2016666666668</v>
      </c>
      <c r="F138" s="74">
        <f t="shared" si="38"/>
        <v>1529.1778335502954</v>
      </c>
      <c r="G138" s="74">
        <f t="shared" si="38"/>
        <v>1527.9508418120267</v>
      </c>
      <c r="H138" s="74">
        <f t="shared" si="38"/>
        <v>1526.5187652483548</v>
      </c>
      <c r="I138" s="74">
        <f t="shared" si="38"/>
        <v>1524.8662597832845</v>
      </c>
      <c r="J138" s="74">
        <f>SUM(J134:J135)</f>
        <v>1350.2884441520464</v>
      </c>
      <c r="K138" s="74">
        <f t="shared" si="38"/>
        <v>1348.5459660847118</v>
      </c>
      <c r="L138" s="74">
        <f t="shared" si="38"/>
        <v>1346.6088633973573</v>
      </c>
      <c r="M138" s="74">
        <f t="shared" si="38"/>
        <v>1344.4869914484448</v>
      </c>
      <c r="N138" s="74">
        <f t="shared" si="38"/>
        <v>1342.1766872545709</v>
      </c>
      <c r="O138" s="74">
        <f t="shared" si="38"/>
        <v>1339.660277769229</v>
      </c>
      <c r="P138" s="74">
        <f t="shared" si="38"/>
        <v>975.50363963968607</v>
      </c>
      <c r="Q138" s="74">
        <f t="shared" si="38"/>
        <v>973.28020614282354</v>
      </c>
      <c r="R138" s="74">
        <f t="shared" si="38"/>
        <v>970.88895261583616</v>
      </c>
      <c r="S138" s="74">
        <f t="shared" si="38"/>
        <v>968.33440423546369</v>
      </c>
      <c r="T138" s="74">
        <f t="shared" si="38"/>
        <v>965.6115286828707</v>
      </c>
      <c r="U138" s="74">
        <f t="shared" si="38"/>
        <v>962.7051704587102</v>
      </c>
      <c r="V138" s="74">
        <f t="shared" si="38"/>
        <v>959.61862403127839</v>
      </c>
      <c r="W138" s="74">
        <f t="shared" si="38"/>
        <v>956.3451865808405</v>
      </c>
      <c r="X138" s="74">
        <f t="shared" si="38"/>
        <v>952.86743027015063</v>
      </c>
      <c r="Y138" s="74">
        <f t="shared" si="38"/>
        <v>949.18696268935764</v>
      </c>
      <c r="Z138" s="74">
        <f t="shared" si="38"/>
        <v>945.2947940461105</v>
      </c>
      <c r="AA138" s="74">
        <f t="shared" si="38"/>
        <v>941.17039775968715</v>
      </c>
      <c r="AB138" s="74">
        <f t="shared" si="38"/>
        <v>936.81295659780199</v>
      </c>
      <c r="AC138" s="74">
        <f t="shared" si="38"/>
        <v>932.21021989681037</v>
      </c>
      <c r="AD138" s="73">
        <f t="shared" ref="AD138:AD149" si="39">SUM(E138:AC138)</f>
        <v>29100.313070814413</v>
      </c>
    </row>
    <row r="139" spans="2:30" x14ac:dyDescent="0.15">
      <c r="B139" s="227"/>
      <c r="C139" s="244" t="s">
        <v>98</v>
      </c>
      <c r="D139" s="245"/>
      <c r="E139" s="32">
        <f t="shared" ref="E139:AC139" si="40">SUM(E136:E137)</f>
        <v>1530.2016666666668</v>
      </c>
      <c r="F139" s="32">
        <f t="shared" si="40"/>
        <v>1529.1778335502954</v>
      </c>
      <c r="G139" s="32">
        <f t="shared" si="40"/>
        <v>1527.9508418120267</v>
      </c>
      <c r="H139" s="32">
        <f t="shared" si="40"/>
        <v>1526.5187652483548</v>
      </c>
      <c r="I139" s="32">
        <f t="shared" si="40"/>
        <v>1524.8662597832845</v>
      </c>
      <c r="J139" s="32">
        <f>SUM(J136:J137)</f>
        <v>1099.6935151523296</v>
      </c>
      <c r="K139" s="32">
        <f t="shared" si="40"/>
        <v>1098.4479263846292</v>
      </c>
      <c r="L139" s="32">
        <f t="shared" si="40"/>
        <v>1097.0609313240511</v>
      </c>
      <c r="M139" s="32">
        <f t="shared" si="40"/>
        <v>1095.5422286874</v>
      </c>
      <c r="N139" s="32">
        <f t="shared" si="40"/>
        <v>1093.8890981121403</v>
      </c>
      <c r="O139" s="32">
        <f t="shared" si="40"/>
        <v>1092.085950266073</v>
      </c>
      <c r="P139" s="32">
        <f t="shared" si="40"/>
        <v>777.36123359824535</v>
      </c>
      <c r="Q139" s="32">
        <f t="shared" si="40"/>
        <v>775.87168716032431</v>
      </c>
      <c r="R139" s="32">
        <f t="shared" si="40"/>
        <v>774.26679712097962</v>
      </c>
      <c r="S139" s="32">
        <f t="shared" si="40"/>
        <v>772.55237804284991</v>
      </c>
      <c r="T139" s="32">
        <f t="shared" si="40"/>
        <v>770.72488031945829</v>
      </c>
      <c r="U139" s="32">
        <f t="shared" si="40"/>
        <v>768.77084008729571</v>
      </c>
      <c r="V139" s="32">
        <f t="shared" si="40"/>
        <v>766.69527408072497</v>
      </c>
      <c r="W139" s="32">
        <f t="shared" si="40"/>
        <v>764.49343885110397</v>
      </c>
      <c r="X139" s="32">
        <f t="shared" si="40"/>
        <v>762.15012578217693</v>
      </c>
      <c r="Y139" s="32">
        <f t="shared" si="40"/>
        <v>759.6692423811952</v>
      </c>
      <c r="Z139" s="32">
        <f t="shared" si="40"/>
        <v>757.04440229447664</v>
      </c>
      <c r="AA139" s="32">
        <f t="shared" si="40"/>
        <v>754.25802002487558</v>
      </c>
      <c r="AB139" s="32">
        <f t="shared" si="40"/>
        <v>751.31237982562584</v>
      </c>
      <c r="AC139" s="32">
        <f t="shared" si="40"/>
        <v>748.19874016144308</v>
      </c>
      <c r="AD139" s="72">
        <f t="shared" si="39"/>
        <v>24918.804456718022</v>
      </c>
    </row>
    <row r="140" spans="2:30" x14ac:dyDescent="0.15">
      <c r="B140" s="259" t="s">
        <v>212</v>
      </c>
      <c r="C140" s="242" t="s">
        <v>126</v>
      </c>
      <c r="D140" s="243"/>
      <c r="E140" s="74">
        <f t="shared" ref="E140:AC140" si="41">E138*3.6</f>
        <v>5508.7260000000006</v>
      </c>
      <c r="F140" s="74">
        <f t="shared" si="41"/>
        <v>5505.0402007810635</v>
      </c>
      <c r="G140" s="74">
        <f t="shared" si="41"/>
        <v>5500.6230305232966</v>
      </c>
      <c r="H140" s="74">
        <f t="shared" si="41"/>
        <v>5495.4675548940777</v>
      </c>
      <c r="I140" s="74">
        <f t="shared" si="41"/>
        <v>5489.5185352198241</v>
      </c>
      <c r="J140" s="74">
        <f t="shared" si="41"/>
        <v>4861.0383989473676</v>
      </c>
      <c r="K140" s="74">
        <f t="shared" si="41"/>
        <v>4854.7654779049626</v>
      </c>
      <c r="L140" s="74">
        <f t="shared" si="41"/>
        <v>4847.7919082304861</v>
      </c>
      <c r="M140" s="74">
        <f t="shared" si="41"/>
        <v>4840.1531692144017</v>
      </c>
      <c r="N140" s="74">
        <f t="shared" si="41"/>
        <v>4831.8360741164552</v>
      </c>
      <c r="O140" s="74">
        <f t="shared" si="41"/>
        <v>4822.7769999692246</v>
      </c>
      <c r="P140" s="74">
        <f t="shared" si="41"/>
        <v>3511.8131027028699</v>
      </c>
      <c r="Q140" s="74">
        <f t="shared" si="41"/>
        <v>3503.8087421141649</v>
      </c>
      <c r="R140" s="74">
        <f t="shared" si="41"/>
        <v>3495.2002294170102</v>
      </c>
      <c r="S140" s="74">
        <f t="shared" si="41"/>
        <v>3486.0038552476694</v>
      </c>
      <c r="T140" s="74">
        <f t="shared" si="41"/>
        <v>3476.2015032583345</v>
      </c>
      <c r="U140" s="74">
        <f t="shared" si="41"/>
        <v>3465.7386136513569</v>
      </c>
      <c r="V140" s="74">
        <f t="shared" si="41"/>
        <v>3454.6270465126022</v>
      </c>
      <c r="W140" s="74">
        <f t="shared" si="41"/>
        <v>3442.8426716910258</v>
      </c>
      <c r="X140" s="74">
        <f t="shared" si="41"/>
        <v>3430.3227489725423</v>
      </c>
      <c r="Y140" s="74">
        <f t="shared" si="41"/>
        <v>3417.0730656816877</v>
      </c>
      <c r="Z140" s="74">
        <f t="shared" si="41"/>
        <v>3403.0612585659978</v>
      </c>
      <c r="AA140" s="74">
        <f t="shared" si="41"/>
        <v>3388.2134319348738</v>
      </c>
      <c r="AB140" s="74">
        <f t="shared" si="41"/>
        <v>3372.5266437520872</v>
      </c>
      <c r="AC140" s="74">
        <f t="shared" si="41"/>
        <v>3355.9567916285173</v>
      </c>
      <c r="AD140" s="205">
        <f t="shared" si="39"/>
        <v>104761.12705493192</v>
      </c>
    </row>
    <row r="141" spans="2:30" ht="24.75" customHeight="1" x14ac:dyDescent="0.15">
      <c r="B141" s="260"/>
      <c r="C141" s="244" t="s">
        <v>98</v>
      </c>
      <c r="D141" s="245"/>
      <c r="E141" s="32">
        <f t="shared" ref="E141:AC141" si="42">E139*3.6</f>
        <v>5508.7260000000006</v>
      </c>
      <c r="F141" s="32">
        <f t="shared" si="42"/>
        <v>5505.0402007810635</v>
      </c>
      <c r="G141" s="32">
        <f t="shared" si="42"/>
        <v>5500.6230305232966</v>
      </c>
      <c r="H141" s="32">
        <f t="shared" si="42"/>
        <v>5495.4675548940777</v>
      </c>
      <c r="I141" s="32">
        <f t="shared" si="42"/>
        <v>5489.5185352198241</v>
      </c>
      <c r="J141" s="32">
        <f>J139*3.6</f>
        <v>3958.8966545483868</v>
      </c>
      <c r="K141" s="32">
        <f>K139*3.6</f>
        <v>3954.4125349846654</v>
      </c>
      <c r="L141" s="32">
        <f>L139*3.6</f>
        <v>3949.4193527665843</v>
      </c>
      <c r="M141" s="32">
        <f t="shared" si="42"/>
        <v>3943.9520232746399</v>
      </c>
      <c r="N141" s="32">
        <f t="shared" si="42"/>
        <v>3938.0007532037052</v>
      </c>
      <c r="O141" s="32">
        <f t="shared" si="42"/>
        <v>3931.5094209578629</v>
      </c>
      <c r="P141" s="32">
        <f t="shared" si="42"/>
        <v>2798.5004409536832</v>
      </c>
      <c r="Q141" s="32">
        <f t="shared" si="42"/>
        <v>2793.1380737771674</v>
      </c>
      <c r="R141" s="32">
        <f t="shared" si="42"/>
        <v>2787.3604696355269</v>
      </c>
      <c r="S141" s="32">
        <f t="shared" si="42"/>
        <v>2781.1885609542596</v>
      </c>
      <c r="T141" s="32">
        <f t="shared" si="42"/>
        <v>2774.60956915005</v>
      </c>
      <c r="U141" s="32">
        <f t="shared" si="42"/>
        <v>2767.5750243142647</v>
      </c>
      <c r="V141" s="32">
        <f t="shared" si="42"/>
        <v>2760.1029866906101</v>
      </c>
      <c r="W141" s="32">
        <f t="shared" si="42"/>
        <v>2752.1763798639745</v>
      </c>
      <c r="X141" s="32">
        <f t="shared" si="42"/>
        <v>2743.7404528158372</v>
      </c>
      <c r="Y141" s="32">
        <f t="shared" si="42"/>
        <v>2734.8092725723027</v>
      </c>
      <c r="Z141" s="32">
        <f t="shared" si="42"/>
        <v>2725.359848260116</v>
      </c>
      <c r="AA141" s="32">
        <f t="shared" si="42"/>
        <v>2715.3288720895521</v>
      </c>
      <c r="AB141" s="32">
        <f t="shared" si="42"/>
        <v>2704.7245673722532</v>
      </c>
      <c r="AC141" s="32">
        <f t="shared" si="42"/>
        <v>2693.5154645811954</v>
      </c>
      <c r="AD141" s="206">
        <f t="shared" si="39"/>
        <v>89707.696044184908</v>
      </c>
    </row>
    <row r="142" spans="2:30" ht="24.75" customHeight="1" x14ac:dyDescent="0.15">
      <c r="B142" s="266" t="s">
        <v>213</v>
      </c>
      <c r="C142" s="268" t="s">
        <v>97</v>
      </c>
      <c r="D142" s="269"/>
      <c r="E142" s="147">
        <f t="shared" ref="E142:AC142" si="43">E138*0.000474*1000</f>
        <v>725.31559000000004</v>
      </c>
      <c r="F142" s="147">
        <f t="shared" si="43"/>
        <v>724.83029310283996</v>
      </c>
      <c r="G142" s="147">
        <f t="shared" si="43"/>
        <v>724.24869901890065</v>
      </c>
      <c r="H142" s="147">
        <f t="shared" si="43"/>
        <v>723.56989472772011</v>
      </c>
      <c r="I142" s="147">
        <f t="shared" si="43"/>
        <v>722.78660713727686</v>
      </c>
      <c r="J142" s="147">
        <f t="shared" si="43"/>
        <v>640.03672252806996</v>
      </c>
      <c r="K142" s="147">
        <f t="shared" si="43"/>
        <v>639.21078792415346</v>
      </c>
      <c r="L142" s="147">
        <f t="shared" si="43"/>
        <v>638.29260125034727</v>
      </c>
      <c r="M142" s="147">
        <f t="shared" si="43"/>
        <v>637.28683394656287</v>
      </c>
      <c r="N142" s="147">
        <f t="shared" si="43"/>
        <v>636.19174975866656</v>
      </c>
      <c r="O142" s="147">
        <f t="shared" si="43"/>
        <v>634.99897166261451</v>
      </c>
      <c r="P142" s="147">
        <f t="shared" si="43"/>
        <v>462.38872518921113</v>
      </c>
      <c r="Q142" s="147">
        <f t="shared" si="43"/>
        <v>461.33481771169829</v>
      </c>
      <c r="R142" s="147">
        <f t="shared" si="43"/>
        <v>460.20136353990631</v>
      </c>
      <c r="S142" s="147">
        <f t="shared" si="43"/>
        <v>458.9905076076098</v>
      </c>
      <c r="T142" s="147">
        <f t="shared" si="43"/>
        <v>457.69986459568071</v>
      </c>
      <c r="U142" s="147">
        <f t="shared" si="43"/>
        <v>456.32225079742858</v>
      </c>
      <c r="V142" s="147">
        <f t="shared" si="43"/>
        <v>454.85922779082591</v>
      </c>
      <c r="W142" s="147">
        <f t="shared" si="43"/>
        <v>453.30761843931839</v>
      </c>
      <c r="X142" s="147">
        <f t="shared" si="43"/>
        <v>451.65916194805141</v>
      </c>
      <c r="Y142" s="147">
        <f t="shared" si="43"/>
        <v>449.9146203147555</v>
      </c>
      <c r="Z142" s="147">
        <f t="shared" si="43"/>
        <v>448.06973237785638</v>
      </c>
      <c r="AA142" s="147">
        <f t="shared" si="43"/>
        <v>446.11476853809165</v>
      </c>
      <c r="AB142" s="147">
        <f t="shared" si="43"/>
        <v>444.04934142735812</v>
      </c>
      <c r="AC142" s="147">
        <f t="shared" si="43"/>
        <v>441.86764423108809</v>
      </c>
      <c r="AD142" s="148">
        <f t="shared" ref="AD142:AD147" si="44">SUM(E142:AC142)</f>
        <v>13793.548395566033</v>
      </c>
    </row>
    <row r="143" spans="2:30" ht="24.75" customHeight="1" x14ac:dyDescent="0.15">
      <c r="B143" s="267"/>
      <c r="C143" s="244" t="s">
        <v>98</v>
      </c>
      <c r="D143" s="245"/>
      <c r="E143" s="32">
        <f t="shared" ref="E143:AC143" si="45">E139*0.000474*1000</f>
        <v>725.31559000000004</v>
      </c>
      <c r="F143" s="32">
        <f t="shared" si="45"/>
        <v>724.83029310283996</v>
      </c>
      <c r="G143" s="32">
        <f t="shared" si="45"/>
        <v>724.24869901890065</v>
      </c>
      <c r="H143" s="32">
        <f t="shared" si="45"/>
        <v>723.56989472772011</v>
      </c>
      <c r="I143" s="32">
        <f t="shared" si="45"/>
        <v>722.78660713727686</v>
      </c>
      <c r="J143" s="32">
        <f t="shared" si="45"/>
        <v>521.25472618220431</v>
      </c>
      <c r="K143" s="32">
        <f t="shared" si="45"/>
        <v>520.66431710631423</v>
      </c>
      <c r="L143" s="32">
        <f t="shared" si="45"/>
        <v>520.00688144760022</v>
      </c>
      <c r="M143" s="32">
        <f t="shared" si="45"/>
        <v>519.28701639782764</v>
      </c>
      <c r="N143" s="32">
        <f t="shared" si="45"/>
        <v>518.50343250515448</v>
      </c>
      <c r="O143" s="32">
        <f t="shared" si="45"/>
        <v>517.64874042611859</v>
      </c>
      <c r="P143" s="32">
        <f t="shared" si="45"/>
        <v>368.46922472556827</v>
      </c>
      <c r="Q143" s="32">
        <f t="shared" si="45"/>
        <v>367.76317971399368</v>
      </c>
      <c r="R143" s="32">
        <f t="shared" si="45"/>
        <v>367.00246183534432</v>
      </c>
      <c r="S143" s="32">
        <f t="shared" si="45"/>
        <v>366.18982719231087</v>
      </c>
      <c r="T143" s="32">
        <f t="shared" si="45"/>
        <v>365.32359327142319</v>
      </c>
      <c r="U143" s="32">
        <f t="shared" si="45"/>
        <v>364.3973782013781</v>
      </c>
      <c r="V143" s="32">
        <f t="shared" si="45"/>
        <v>363.4135599142636</v>
      </c>
      <c r="W143" s="32">
        <f t="shared" si="45"/>
        <v>362.36989001542327</v>
      </c>
      <c r="X143" s="32">
        <f t="shared" si="45"/>
        <v>361.25915962075186</v>
      </c>
      <c r="Y143" s="32">
        <f t="shared" si="45"/>
        <v>360.08322088868647</v>
      </c>
      <c r="Z143" s="32">
        <f t="shared" si="45"/>
        <v>358.83904668758191</v>
      </c>
      <c r="AA143" s="32">
        <f t="shared" si="45"/>
        <v>357.51830149179096</v>
      </c>
      <c r="AB143" s="32">
        <f t="shared" si="45"/>
        <v>356.12206803734665</v>
      </c>
      <c r="AC143" s="32">
        <f t="shared" si="45"/>
        <v>354.64620283652397</v>
      </c>
      <c r="AD143" s="72">
        <f t="shared" si="44"/>
        <v>11811.513312484343</v>
      </c>
    </row>
    <row r="144" spans="2:30" ht="24.75" customHeight="1" x14ac:dyDescent="0.15">
      <c r="B144" s="270" t="s">
        <v>216</v>
      </c>
      <c r="C144" s="242" t="s">
        <v>97</v>
      </c>
      <c r="D144" s="243"/>
      <c r="E144" s="154">
        <f>+E122*H117*365+E123*H118*365</f>
        <v>1.434158</v>
      </c>
      <c r="F144" s="154">
        <f>+F122*H117*365+F123*H118*365</f>
        <v>1.429346424</v>
      </c>
      <c r="G144" s="154">
        <f>+G122*H117*365+G123*H118*365</f>
        <v>1.4236097920000002</v>
      </c>
      <c r="H144" s="154">
        <f>+H122*H117*365+H123*H118*365</f>
        <v>1.416948104</v>
      </c>
      <c r="I144" s="154">
        <f>+I122*H117*365+I123*H118*365</f>
        <v>1.409268212</v>
      </c>
      <c r="J144" s="154">
        <f>+J122*H117*365+J123*H118*365</f>
        <v>1.4006632640000003</v>
      </c>
      <c r="K144" s="154">
        <f>+K122*H117*365+K123*H118*365</f>
        <v>1.3911332599999999</v>
      </c>
      <c r="L144" s="154">
        <f>+L122*H117*365+L123*H118*365</f>
        <v>1.380585052</v>
      </c>
      <c r="M144" s="154">
        <f>+M122*H117*365+M123*H118*365</f>
        <v>1.3691117879999999</v>
      </c>
      <c r="N144" s="154">
        <f>+N122*H117*365+N123*H118*365</f>
        <v>1.3567134680000001</v>
      </c>
      <c r="O144" s="154">
        <f>+O122*H117*365+O123*H118*365</f>
        <v>1.343296944</v>
      </c>
      <c r="P144" s="154">
        <f>+P122*H117*365+P123*H118*365</f>
        <v>1.3289553640000002</v>
      </c>
      <c r="Q144" s="154">
        <f>+Q122*H117*365+Q123*H118*365</f>
        <v>1.3136887280000002</v>
      </c>
      <c r="R144" s="154">
        <f>+R122*H117*365+R123*H118*365</f>
        <v>1.2974038880000001</v>
      </c>
      <c r="S144" s="154">
        <f>+S122*H117*365+S123*H118*365</f>
        <v>1.2801939920000001</v>
      </c>
      <c r="T144" s="154">
        <f>+T122*H117*365+T123*H118*365</f>
        <v>1.26205904</v>
      </c>
      <c r="U144" s="154">
        <f>+U122*H117*365+U123*H118*365</f>
        <v>1.2429058840000002</v>
      </c>
      <c r="V144" s="154">
        <f>+V122*H117*365+V123*H118*365</f>
        <v>1.2228276720000002</v>
      </c>
      <c r="W144" s="154">
        <f>+W122*H117*365+W123*H118*365</f>
        <v>1.2018244040000001</v>
      </c>
      <c r="X144" s="154">
        <f>+X122*H117*365+X123*H118*365</f>
        <v>1.1798029319999999</v>
      </c>
      <c r="Y144" s="154">
        <f>+Y122*H117*365+Y123*H118*365</f>
        <v>1.156856404</v>
      </c>
      <c r="Z144" s="154">
        <f>+Z122*H117*365+Z123*H118*365</f>
        <v>1.1329848200000001</v>
      </c>
      <c r="AA144" s="154">
        <f>+AA122*H117*365+AA123*H118*365</f>
        <v>1.108095032</v>
      </c>
      <c r="AB144" s="154">
        <f>+AB122*H117*365+AB123*H118*365</f>
        <v>1.0822801879999999</v>
      </c>
      <c r="AC144" s="154">
        <f>+AC122*H117*365+AC123*H118*365</f>
        <v>1.055540288</v>
      </c>
      <c r="AD144" s="73">
        <f>SUM(E144:AC144)</f>
        <v>32.220252944000009</v>
      </c>
    </row>
    <row r="145" spans="2:34" ht="24.75" customHeight="1" x14ac:dyDescent="0.15">
      <c r="B145" s="267"/>
      <c r="C145" s="244" t="s">
        <v>98</v>
      </c>
      <c r="D145" s="245"/>
      <c r="E145" s="155">
        <f>+E124*H117*365+E125*H118*365</f>
        <v>1.434158</v>
      </c>
      <c r="F145" s="155">
        <f>+F124*H117*365+F125*H118*365</f>
        <v>1.429346424</v>
      </c>
      <c r="G145" s="155">
        <f>+G124*H117*365+G125*H118*365</f>
        <v>1.4236097920000002</v>
      </c>
      <c r="H145" s="155">
        <f>+H124*H117*365+H125*H118*365</f>
        <v>1.416948104</v>
      </c>
      <c r="I145" s="155">
        <f>+I124*H117*365+I125*H118*365</f>
        <v>1.409268212</v>
      </c>
      <c r="J145" s="155">
        <f>+J124*H117*365</f>
        <v>1.4006632640000003</v>
      </c>
      <c r="K145" s="155">
        <f>+K124*H117*365</f>
        <v>1.3911332600000001</v>
      </c>
      <c r="L145" s="155">
        <f>+L124*H117*365</f>
        <v>1.380585052</v>
      </c>
      <c r="M145" s="155">
        <f>+M124*H117*365</f>
        <v>1.3691117880000001</v>
      </c>
      <c r="N145" s="155">
        <f>+N124*H117*365</f>
        <v>1.3567134680000001</v>
      </c>
      <c r="O145" s="155">
        <f>+O124*H117*365</f>
        <v>1.343296944</v>
      </c>
      <c r="P145" s="155">
        <f>+P124*H117*365</f>
        <v>1.328955364</v>
      </c>
      <c r="Q145" s="155">
        <f>+Q124*H117*365</f>
        <v>1.313688728</v>
      </c>
      <c r="R145" s="155">
        <f>+R124*H117*365</f>
        <v>1.2974038880000001</v>
      </c>
      <c r="S145" s="155">
        <f>+S124*H117*365</f>
        <v>1.2801939920000001</v>
      </c>
      <c r="T145" s="155">
        <f>+T124*H117*365</f>
        <v>1.2620590400000002</v>
      </c>
      <c r="U145" s="155">
        <f>+U124*H117*365</f>
        <v>1.242905884</v>
      </c>
      <c r="V145" s="155">
        <f>+V124*H117*365</f>
        <v>1.2228276720000002</v>
      </c>
      <c r="W145" s="155">
        <f>+W124*H117*365</f>
        <v>1.2018244040000001</v>
      </c>
      <c r="X145" s="155">
        <f>+X124*H117*365</f>
        <v>1.1798029320000001</v>
      </c>
      <c r="Y145" s="155">
        <f>+Y124*H117*365</f>
        <v>1.1568564039999998</v>
      </c>
      <c r="Z145" s="155">
        <f>+Z124*H117*365</f>
        <v>1.1329848200000001</v>
      </c>
      <c r="AA145" s="155">
        <f>+AA124*H117*365</f>
        <v>1.1080950319999998</v>
      </c>
      <c r="AB145" s="155">
        <f>+AB124*H117*365</f>
        <v>1.0822801880000001</v>
      </c>
      <c r="AC145" s="155">
        <f>+AC124*H117*365</f>
        <v>1.055540288</v>
      </c>
      <c r="AD145" s="72">
        <f>SUM(E145:AC145)</f>
        <v>32.220252944000009</v>
      </c>
    </row>
    <row r="146" spans="2:34" ht="24.75" customHeight="1" x14ac:dyDescent="0.15">
      <c r="B146" s="270" t="s">
        <v>217</v>
      </c>
      <c r="C146" s="242" t="s">
        <v>97</v>
      </c>
      <c r="D146" s="243"/>
      <c r="E146" s="154">
        <f>+E122*I117*365+E123*I118*365</f>
        <v>0.26075599999999999</v>
      </c>
      <c r="F146" s="154">
        <f>+F122*I117*365+F123*I118*365</f>
        <v>0.259881168</v>
      </c>
      <c r="G146" s="154">
        <f>+G122*I117*365+G123*I118*365</f>
        <v>0.25883814399999999</v>
      </c>
      <c r="H146" s="154">
        <f>+H122*I117*365+H123*I118*365</f>
        <v>0.25762692799999998</v>
      </c>
      <c r="I146" s="154">
        <f>+I122*I117*365+I123*I118*365</f>
        <v>0.25623058400000004</v>
      </c>
      <c r="J146" s="154">
        <f>+J122*I117*365+J123*I118*365</f>
        <v>0.25466604800000003</v>
      </c>
      <c r="K146" s="154">
        <f>+K122*I117*365+K123*I118*365</f>
        <v>0.25293331999999996</v>
      </c>
      <c r="L146" s="154">
        <f>+L122*I117*365+L123*I118*365</f>
        <v>0.25101546400000002</v>
      </c>
      <c r="M146" s="154">
        <f>+M122*I117*365+M123*I118*365</f>
        <v>0.24892941599999999</v>
      </c>
      <c r="N146" s="154">
        <f>+N122*I117*365+N123*I118*365</f>
        <v>0.24667517600000002</v>
      </c>
      <c r="O146" s="154">
        <f>+O122*I117*365+O123*I118*365</f>
        <v>0.244235808</v>
      </c>
      <c r="P146" s="154">
        <f>+P122*I117*365+P123*I118*365</f>
        <v>0.24162824799999999</v>
      </c>
      <c r="Q146" s="154">
        <f>+Q122*I117*365+Q123*I118*365</f>
        <v>0.238852496</v>
      </c>
      <c r="R146" s="154">
        <f>+R122*I117*365+R123*I118*365</f>
        <v>0.235891616</v>
      </c>
      <c r="S146" s="154">
        <f>+S122*I117*365+S123*I118*365</f>
        <v>0.23276254400000002</v>
      </c>
      <c r="T146" s="154">
        <f>+T122*I117*365+T123*I118*365</f>
        <v>0.22946527999999999</v>
      </c>
      <c r="U146" s="154">
        <f>+U122*I117*365+U123*I118*365</f>
        <v>0.22598288800000002</v>
      </c>
      <c r="V146" s="154">
        <f>+V122*I117*365+V123*I118*365</f>
        <v>0.22233230399999998</v>
      </c>
      <c r="W146" s="154">
        <f>+W122*I117*365+W123*I118*365</f>
        <v>0.21851352800000001</v>
      </c>
      <c r="X146" s="154">
        <f>+X122*I117*365+X123*I118*365</f>
        <v>0.21450962399999998</v>
      </c>
      <c r="Y146" s="154">
        <f>+Y122*I117*365+Y123*I118*365</f>
        <v>0.21033752799999997</v>
      </c>
      <c r="Z146" s="154">
        <f>+Z122*I117*365+Z123*I118*365</f>
        <v>0.20599724000000003</v>
      </c>
      <c r="AA146" s="154">
        <f>+AA122*I117*365+AA123*I118*365</f>
        <v>0.20147182399999999</v>
      </c>
      <c r="AB146" s="154">
        <f>+AB122*I117*365+AB123*I118*365</f>
        <v>0.19677821600000001</v>
      </c>
      <c r="AC146" s="154">
        <f>+AC122*I117*365+AC123*I118*365</f>
        <v>0.19191641599999998</v>
      </c>
      <c r="AD146" s="73">
        <f t="shared" si="44"/>
        <v>5.8582278080000005</v>
      </c>
    </row>
    <row r="147" spans="2:34" ht="24.75" customHeight="1" x14ac:dyDescent="0.15">
      <c r="B147" s="267"/>
      <c r="C147" s="244" t="s">
        <v>98</v>
      </c>
      <c r="D147" s="245"/>
      <c r="E147" s="155">
        <f>+E124*I117*365+E125*I118*365</f>
        <v>0.26075599999999999</v>
      </c>
      <c r="F147" s="155">
        <f>+F124*I117*365+F125*I118*365</f>
        <v>0.259881168</v>
      </c>
      <c r="G147" s="155">
        <f>+G124*I117*365+G125*I118*365</f>
        <v>0.25883814399999999</v>
      </c>
      <c r="H147" s="155">
        <f>+H124*I117*365+H125*I118*365</f>
        <v>0.25762692799999998</v>
      </c>
      <c r="I147" s="155">
        <f>+I124*I117*365+I125*I118*365</f>
        <v>0.25623058400000004</v>
      </c>
      <c r="J147" s="155">
        <f>+J124*I117*365</f>
        <v>0.25466604800000003</v>
      </c>
      <c r="K147" s="155">
        <f>+K124*I117*365</f>
        <v>0.25293332000000002</v>
      </c>
      <c r="L147" s="155">
        <f>+L124*I117*365</f>
        <v>0.25101546400000002</v>
      </c>
      <c r="M147" s="155">
        <f>+M124*I117*365</f>
        <v>0.24892941599999999</v>
      </c>
      <c r="N147" s="155">
        <f>+N124*I117*365</f>
        <v>0.24667517600000005</v>
      </c>
      <c r="O147" s="155">
        <f>+O124*I117*365</f>
        <v>0.244235808</v>
      </c>
      <c r="P147" s="155">
        <f>+P124*I117*365</f>
        <v>0.24162824800000002</v>
      </c>
      <c r="Q147" s="155">
        <f>+Q124*I117*365</f>
        <v>0.23885249600000003</v>
      </c>
      <c r="R147" s="155">
        <f>+R124*I117*365</f>
        <v>0.23589161599999997</v>
      </c>
      <c r="S147" s="155">
        <f>+S124*I117*365</f>
        <v>0.23276254400000002</v>
      </c>
      <c r="T147" s="155">
        <f>+T124*I117*365</f>
        <v>0.22946528000000002</v>
      </c>
      <c r="U147" s="155">
        <f>+U124*I117*365</f>
        <v>0.22598288800000002</v>
      </c>
      <c r="V147" s="155">
        <f>+V124*I117*365</f>
        <v>0.22233230400000001</v>
      </c>
      <c r="W147" s="155">
        <f>+W124*I117*365</f>
        <v>0.21851352800000001</v>
      </c>
      <c r="X147" s="155">
        <f>+X124*I117*365</f>
        <v>0.21450962399999998</v>
      </c>
      <c r="Y147" s="155">
        <f>+Y124*I117*365</f>
        <v>0.21033752799999997</v>
      </c>
      <c r="Z147" s="155">
        <f>+Z124*I117*365</f>
        <v>0.20599724</v>
      </c>
      <c r="AA147" s="155">
        <f>+AA124*I117*365</f>
        <v>0.20147182399999997</v>
      </c>
      <c r="AB147" s="155">
        <f>+AB124*I117*365</f>
        <v>0.19677821600000001</v>
      </c>
      <c r="AC147" s="155">
        <f>+AC124*I117*365</f>
        <v>0.19191641600000001</v>
      </c>
      <c r="AD147" s="72">
        <f t="shared" si="44"/>
        <v>5.8582278080000005</v>
      </c>
    </row>
    <row r="148" spans="2:34" ht="24.75" customHeight="1" x14ac:dyDescent="0.15">
      <c r="B148" s="259" t="s">
        <v>221</v>
      </c>
      <c r="C148" s="242" t="s">
        <v>126</v>
      </c>
      <c r="D148" s="243"/>
      <c r="E148" s="74">
        <f t="shared" ref="E148:AC148" si="46">+E142+E144*25+E146*298</f>
        <v>838.87482800000009</v>
      </c>
      <c r="F148" s="74">
        <f t="shared" si="46"/>
        <v>838.00854176683993</v>
      </c>
      <c r="G148" s="74">
        <f t="shared" si="46"/>
        <v>836.97271073090064</v>
      </c>
      <c r="H148" s="74">
        <f t="shared" si="46"/>
        <v>835.76642187172001</v>
      </c>
      <c r="I148" s="74">
        <f t="shared" si="46"/>
        <v>834.37502646927692</v>
      </c>
      <c r="J148" s="74">
        <f t="shared" si="46"/>
        <v>750.94378643206994</v>
      </c>
      <c r="K148" s="74">
        <f t="shared" si="46"/>
        <v>749.36324878415348</v>
      </c>
      <c r="L148" s="74">
        <f t="shared" si="46"/>
        <v>747.60983582234735</v>
      </c>
      <c r="M148" s="74">
        <f t="shared" si="46"/>
        <v>745.69559461456288</v>
      </c>
      <c r="N148" s="74">
        <f t="shared" si="46"/>
        <v>743.61878890666651</v>
      </c>
      <c r="O148" s="74">
        <f t="shared" si="46"/>
        <v>741.36366604661453</v>
      </c>
      <c r="P148" s="74">
        <f t="shared" si="46"/>
        <v>567.61782719321116</v>
      </c>
      <c r="Q148" s="74">
        <f t="shared" si="46"/>
        <v>565.35507971969832</v>
      </c>
      <c r="R148" s="74">
        <f t="shared" si="46"/>
        <v>562.93216230790631</v>
      </c>
      <c r="S148" s="74">
        <f t="shared" si="46"/>
        <v>560.35859551960982</v>
      </c>
      <c r="T148" s="74">
        <f t="shared" si="46"/>
        <v>557.63199403568069</v>
      </c>
      <c r="U148" s="74">
        <f t="shared" si="46"/>
        <v>554.73779852142854</v>
      </c>
      <c r="V148" s="74">
        <f t="shared" si="46"/>
        <v>551.68494618282591</v>
      </c>
      <c r="W148" s="74">
        <f t="shared" si="46"/>
        <v>548.47025988331836</v>
      </c>
      <c r="X148" s="74">
        <f t="shared" si="46"/>
        <v>545.07810320005137</v>
      </c>
      <c r="Y148" s="74">
        <f t="shared" si="46"/>
        <v>541.51661375875551</v>
      </c>
      <c r="Z148" s="74">
        <f t="shared" si="46"/>
        <v>537.78153039785639</v>
      </c>
      <c r="AA148" s="74">
        <f t="shared" si="46"/>
        <v>533.85574789009172</v>
      </c>
      <c r="AB148" s="74">
        <f t="shared" si="46"/>
        <v>529.74625449535813</v>
      </c>
      <c r="AC148" s="74">
        <f t="shared" si="46"/>
        <v>525.44724339908805</v>
      </c>
      <c r="AD148" s="205">
        <f t="shared" si="39"/>
        <v>16344.806605950032</v>
      </c>
    </row>
    <row r="149" spans="2:34" ht="24.75" customHeight="1" x14ac:dyDescent="0.15">
      <c r="B149" s="260"/>
      <c r="C149" s="244" t="s">
        <v>98</v>
      </c>
      <c r="D149" s="245"/>
      <c r="E149" s="32">
        <f t="shared" ref="E149:AC149" si="47">+E143+E145*25+E147*298</f>
        <v>838.87482800000009</v>
      </c>
      <c r="F149" s="32">
        <f t="shared" si="47"/>
        <v>838.00854176683993</v>
      </c>
      <c r="G149" s="32">
        <f t="shared" si="47"/>
        <v>836.97271073090064</v>
      </c>
      <c r="H149" s="32">
        <f t="shared" si="47"/>
        <v>835.76642187172001</v>
      </c>
      <c r="I149" s="32">
        <f t="shared" si="47"/>
        <v>834.37502646927692</v>
      </c>
      <c r="J149" s="32">
        <f t="shared" si="47"/>
        <v>632.16179008620429</v>
      </c>
      <c r="K149" s="32">
        <f t="shared" si="47"/>
        <v>630.81677796631425</v>
      </c>
      <c r="L149" s="32">
        <f t="shared" si="47"/>
        <v>629.3241160196003</v>
      </c>
      <c r="M149" s="32">
        <f t="shared" si="47"/>
        <v>627.69577706582766</v>
      </c>
      <c r="N149" s="32">
        <f t="shared" si="47"/>
        <v>625.93047165315443</v>
      </c>
      <c r="O149" s="32">
        <f t="shared" si="47"/>
        <v>624.01343481011861</v>
      </c>
      <c r="P149" s="32">
        <f t="shared" si="47"/>
        <v>473.69832672956829</v>
      </c>
      <c r="Q149" s="32">
        <f t="shared" si="47"/>
        <v>471.78344172199365</v>
      </c>
      <c r="R149" s="32">
        <f t="shared" si="47"/>
        <v>469.73326060334432</v>
      </c>
      <c r="S149" s="32">
        <f t="shared" si="47"/>
        <v>467.55791510431084</v>
      </c>
      <c r="T149" s="32">
        <f t="shared" si="47"/>
        <v>465.25572271142318</v>
      </c>
      <c r="U149" s="32">
        <f t="shared" si="47"/>
        <v>462.81292592537807</v>
      </c>
      <c r="V149" s="32">
        <f t="shared" si="47"/>
        <v>460.2392783062636</v>
      </c>
      <c r="W149" s="32">
        <f t="shared" si="47"/>
        <v>457.53253145942324</v>
      </c>
      <c r="X149" s="32">
        <f t="shared" si="47"/>
        <v>454.67810087275188</v>
      </c>
      <c r="Y149" s="32">
        <f t="shared" si="47"/>
        <v>451.68521433268648</v>
      </c>
      <c r="Z149" s="32">
        <f t="shared" si="47"/>
        <v>448.55084470758192</v>
      </c>
      <c r="AA149" s="32">
        <f t="shared" si="47"/>
        <v>445.25928084379092</v>
      </c>
      <c r="AB149" s="32">
        <f t="shared" si="47"/>
        <v>441.81898110534667</v>
      </c>
      <c r="AC149" s="32">
        <f t="shared" si="47"/>
        <v>438.22580200452398</v>
      </c>
      <c r="AD149" s="206">
        <f t="shared" si="39"/>
        <v>14362.771522868346</v>
      </c>
    </row>
    <row r="150" spans="2:34" ht="24.75" customHeight="1" x14ac:dyDescent="0.15">
      <c r="F150" s="162"/>
      <c r="G150" s="178"/>
      <c r="H150" s="178"/>
      <c r="I150" s="180"/>
      <c r="J150" s="180"/>
      <c r="K150" s="180"/>
      <c r="L150" s="180"/>
      <c r="M150" s="180"/>
      <c r="N150" s="180"/>
      <c r="O150" s="180"/>
      <c r="P150" s="180"/>
      <c r="Q150" s="180"/>
      <c r="R150" s="180"/>
      <c r="S150" s="180"/>
      <c r="T150" s="180"/>
      <c r="U150" s="180"/>
      <c r="V150" s="180"/>
      <c r="W150" s="180"/>
      <c r="X150" s="180"/>
      <c r="Y150" s="180"/>
      <c r="Z150" s="180"/>
      <c r="AA150" s="180"/>
      <c r="AB150" s="180"/>
      <c r="AC150" s="180"/>
      <c r="AD150" s="180"/>
      <c r="AE150" s="180"/>
      <c r="AF150" s="180"/>
      <c r="AG150" s="180"/>
      <c r="AH150" s="181"/>
    </row>
  </sheetData>
  <mergeCells count="86">
    <mergeCell ref="B144:B145"/>
    <mergeCell ref="C144:D144"/>
    <mergeCell ref="C145:D145"/>
    <mergeCell ref="X3:Y3"/>
    <mergeCell ref="S3:S4"/>
    <mergeCell ref="N3:O3"/>
    <mergeCell ref="B77:B78"/>
    <mergeCell ref="C66:C68"/>
    <mergeCell ref="B66:B68"/>
    <mergeCell ref="B64:B65"/>
    <mergeCell ref="J3:J4"/>
    <mergeCell ref="H115:H116"/>
    <mergeCell ref="B121:C121"/>
    <mergeCell ref="C130:C131"/>
    <mergeCell ref="C132:C133"/>
    <mergeCell ref="B130:B133"/>
    <mergeCell ref="C56:C57"/>
    <mergeCell ref="A56:A57"/>
    <mergeCell ref="B56:B57"/>
    <mergeCell ref="C70:C71"/>
    <mergeCell ref="C115:D115"/>
    <mergeCell ref="C64:C65"/>
    <mergeCell ref="B70:B71"/>
    <mergeCell ref="D56:D57"/>
    <mergeCell ref="A115:A116"/>
    <mergeCell ref="B115:B116"/>
    <mergeCell ref="B72:B73"/>
    <mergeCell ref="B74:B75"/>
    <mergeCell ref="C72:C73"/>
    <mergeCell ref="B126:B129"/>
    <mergeCell ref="C126:C127"/>
    <mergeCell ref="C128:C129"/>
    <mergeCell ref="B122:B125"/>
    <mergeCell ref="C122:C123"/>
    <mergeCell ref="C124:C125"/>
    <mergeCell ref="T3:U3"/>
    <mergeCell ref="V3:W3"/>
    <mergeCell ref="C3:C4"/>
    <mergeCell ref="M3:M4"/>
    <mergeCell ref="A3:A4"/>
    <mergeCell ref="E3:G3"/>
    <mergeCell ref="D3:D4"/>
    <mergeCell ref="K3:K4"/>
    <mergeCell ref="R3:R4"/>
    <mergeCell ref="L3:L4"/>
    <mergeCell ref="B3:B4"/>
    <mergeCell ref="H3:I3"/>
    <mergeCell ref="C20:C25"/>
    <mergeCell ref="B11:B12"/>
    <mergeCell ref="C11:C12"/>
    <mergeCell ref="B22:B23"/>
    <mergeCell ref="B13:B14"/>
    <mergeCell ref="B16:B17"/>
    <mergeCell ref="B18:B19"/>
    <mergeCell ref="B20:B21"/>
    <mergeCell ref="C13:C14"/>
    <mergeCell ref="C16:C17"/>
    <mergeCell ref="C18:C19"/>
    <mergeCell ref="B148:B149"/>
    <mergeCell ref="C148:D148"/>
    <mergeCell ref="C149:D149"/>
    <mergeCell ref="C136:C137"/>
    <mergeCell ref="B134:B137"/>
    <mergeCell ref="C134:C135"/>
    <mergeCell ref="B140:B141"/>
    <mergeCell ref="C140:D140"/>
    <mergeCell ref="C141:D141"/>
    <mergeCell ref="B138:B139"/>
    <mergeCell ref="C138:D138"/>
    <mergeCell ref="C139:D139"/>
    <mergeCell ref="B142:B143"/>
    <mergeCell ref="C142:D142"/>
    <mergeCell ref="C143:D143"/>
    <mergeCell ref="B146:B147"/>
    <mergeCell ref="C146:D146"/>
    <mergeCell ref="C147:D147"/>
    <mergeCell ref="J125:AC125"/>
    <mergeCell ref="I115:I116"/>
    <mergeCell ref="J65:AC65"/>
    <mergeCell ref="J71:AC71"/>
    <mergeCell ref="J75:AC75"/>
    <mergeCell ref="C74:C80"/>
    <mergeCell ref="J73:AC73"/>
    <mergeCell ref="E115:E116"/>
    <mergeCell ref="F115:F116"/>
    <mergeCell ref="G115:G116"/>
  </mergeCells>
  <phoneticPr fontId="1"/>
  <pageMargins left="0.7" right="0.7" top="0.75" bottom="0.75" header="0.3" footer="0.3"/>
  <pageSetup paperSize="8" scale="59" orientation="landscape" r:id="rId1"/>
  <rowBreaks count="2" manualBreakCount="2">
    <brk id="54" max="30" man="1"/>
    <brk id="113" max="30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1"/>
  <sheetViews>
    <sheetView showGridLines="0" zoomScaleNormal="100" workbookViewId="0">
      <selection activeCell="G24" sqref="G24"/>
    </sheetView>
  </sheetViews>
  <sheetFormatPr defaultRowHeight="13.5" x14ac:dyDescent="0.15"/>
  <cols>
    <col min="2" max="3" width="7.125" customWidth="1"/>
    <col min="4" max="4" width="4.625" customWidth="1"/>
    <col min="5" max="5" width="10.375" customWidth="1"/>
    <col min="6" max="7" width="11.125" customWidth="1"/>
    <col min="8" max="8" width="9" customWidth="1"/>
    <col min="9" max="10" width="10" customWidth="1"/>
    <col min="11" max="11" width="11" customWidth="1"/>
  </cols>
  <sheetData>
    <row r="1" spans="1:33" ht="14.25" thickBot="1" x14ac:dyDescent="0.2">
      <c r="B1" t="s">
        <v>234</v>
      </c>
    </row>
    <row r="2" spans="1:33" ht="27" customHeight="1" x14ac:dyDescent="0.15">
      <c r="B2" s="287" t="s">
        <v>3</v>
      </c>
      <c r="C2" s="288"/>
      <c r="D2" s="293" t="s">
        <v>185</v>
      </c>
      <c r="E2" s="293"/>
      <c r="F2" s="293"/>
      <c r="G2" s="293"/>
      <c r="H2" s="294"/>
      <c r="I2" s="174" t="s">
        <v>236</v>
      </c>
      <c r="J2" s="295" t="s">
        <v>186</v>
      </c>
    </row>
    <row r="3" spans="1:33" x14ac:dyDescent="0.15">
      <c r="B3" s="289"/>
      <c r="C3" s="290"/>
      <c r="D3" s="294" t="s">
        <v>187</v>
      </c>
      <c r="E3" s="297"/>
      <c r="F3" s="297"/>
      <c r="G3" s="297"/>
      <c r="H3" s="297"/>
      <c r="I3" s="104" t="s">
        <v>188</v>
      </c>
      <c r="J3" s="296"/>
    </row>
    <row r="4" spans="1:33" ht="50.25" customHeight="1" x14ac:dyDescent="0.15">
      <c r="B4" s="291"/>
      <c r="C4" s="292"/>
      <c r="D4" s="298" t="s">
        <v>189</v>
      </c>
      <c r="E4" s="299"/>
      <c r="F4" s="105" t="s">
        <v>190</v>
      </c>
      <c r="G4" s="105" t="s">
        <v>191</v>
      </c>
      <c r="H4" s="106" t="s">
        <v>192</v>
      </c>
      <c r="I4" s="107" t="s">
        <v>193</v>
      </c>
      <c r="J4" s="108" t="s">
        <v>237</v>
      </c>
      <c r="N4" s="176"/>
      <c r="O4" s="176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</row>
    <row r="5" spans="1:33" ht="13.5" customHeight="1" x14ac:dyDescent="0.15">
      <c r="B5" s="300" t="s">
        <v>194</v>
      </c>
      <c r="C5" s="109" t="s">
        <v>195</v>
      </c>
      <c r="D5" s="302" t="s">
        <v>196</v>
      </c>
      <c r="E5" s="303"/>
      <c r="F5" s="110">
        <v>0.01</v>
      </c>
      <c r="G5" s="110">
        <v>1.4999999999999999E-2</v>
      </c>
      <c r="H5" s="111">
        <v>200</v>
      </c>
      <c r="I5" s="112">
        <f>(将来フレーム!H12+将来フレーム!H14)/0.7</f>
        <v>104.28571428571429</v>
      </c>
      <c r="J5" s="113" t="s">
        <v>197</v>
      </c>
      <c r="N5" s="176"/>
      <c r="O5" s="176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</row>
    <row r="6" spans="1:33" ht="12" customHeight="1" thickBot="1" x14ac:dyDescent="0.2">
      <c r="B6" s="301"/>
      <c r="C6" s="114" t="s">
        <v>199</v>
      </c>
      <c r="D6" s="115">
        <v>10</v>
      </c>
      <c r="E6" s="116" t="s">
        <v>198</v>
      </c>
      <c r="F6" s="117">
        <v>0.01</v>
      </c>
      <c r="G6" s="118">
        <v>1.0999999999999999E-2</v>
      </c>
      <c r="H6" s="119">
        <v>150</v>
      </c>
      <c r="I6" s="120">
        <f>I5*G6/G5</f>
        <v>76.476190476190482</v>
      </c>
      <c r="J6" s="121" t="s">
        <v>197</v>
      </c>
      <c r="N6" s="176"/>
      <c r="O6" s="176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</row>
    <row r="7" spans="1:33" ht="15" thickTop="1" thickBot="1" x14ac:dyDescent="0.2">
      <c r="B7" s="284" t="s">
        <v>200</v>
      </c>
      <c r="C7" s="285"/>
      <c r="D7" s="285"/>
      <c r="E7" s="285"/>
      <c r="F7" s="285"/>
      <c r="G7" s="286"/>
      <c r="H7" s="122">
        <v>9000</v>
      </c>
      <c r="I7" s="123">
        <f>ROUND(4361/0.7,-2)</f>
        <v>6200</v>
      </c>
      <c r="J7" s="124" t="s">
        <v>201</v>
      </c>
      <c r="N7" s="176"/>
      <c r="O7" s="176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</row>
    <row r="8" spans="1:33" x14ac:dyDescent="0.15">
      <c r="B8" s="125" t="s">
        <v>202</v>
      </c>
      <c r="C8" s="126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</row>
    <row r="9" spans="1:33" ht="22.5" customHeight="1" x14ac:dyDescent="0.15">
      <c r="B9" s="127" t="s">
        <v>208</v>
      </c>
      <c r="C9" s="126"/>
      <c r="D9" s="128"/>
      <c r="E9" s="129"/>
      <c r="F9" s="130"/>
      <c r="G9" s="131"/>
      <c r="H9" s="131"/>
      <c r="I9" s="132"/>
      <c r="J9" s="133"/>
    </row>
    <row r="10" spans="1:33" ht="9.75" customHeight="1" x14ac:dyDescent="0.15"/>
    <row r="11" spans="1:33" ht="9" customHeight="1" x14ac:dyDescent="0.15"/>
    <row r="12" spans="1:33" ht="11.25" customHeight="1" x14ac:dyDescent="0.15"/>
    <row r="13" spans="1:33" ht="11.25" customHeight="1" x14ac:dyDescent="0.15"/>
    <row r="14" spans="1:33" ht="11.25" customHeight="1" x14ac:dyDescent="0.15">
      <c r="A14" s="41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</row>
    <row r="15" spans="1:33" ht="11.25" customHeight="1" x14ac:dyDescent="0.15">
      <c r="A15" s="41"/>
      <c r="B15" s="283"/>
      <c r="C15" s="283"/>
      <c r="D15" s="283"/>
      <c r="E15" s="283"/>
      <c r="F15" s="283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</row>
    <row r="16" spans="1:33" ht="15" customHeight="1" x14ac:dyDescent="0.15">
      <c r="A16" s="41"/>
      <c r="B16" s="304"/>
      <c r="C16" s="304"/>
      <c r="D16" s="283"/>
      <c r="E16" s="283"/>
      <c r="F16" s="283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</row>
    <row r="17" spans="1:30" ht="15" customHeight="1" x14ac:dyDescent="0.15">
      <c r="A17" s="41"/>
      <c r="B17" s="304"/>
      <c r="C17" s="304"/>
      <c r="D17" s="283"/>
      <c r="E17" s="283"/>
      <c r="F17" s="283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</row>
    <row r="18" spans="1:30" ht="15" customHeight="1" x14ac:dyDescent="0.15">
      <c r="A18" s="41"/>
      <c r="B18" s="304"/>
      <c r="C18" s="304"/>
      <c r="D18" s="283"/>
      <c r="E18" s="283"/>
      <c r="F18" s="283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</row>
    <row r="19" spans="1:30" ht="15" customHeight="1" x14ac:dyDescent="0.15">
      <c r="A19" s="41"/>
      <c r="B19" s="304"/>
      <c r="C19" s="304"/>
      <c r="D19" s="283"/>
      <c r="E19" s="283"/>
      <c r="F19" s="283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</row>
    <row r="20" spans="1:30" x14ac:dyDescent="0.15">
      <c r="A20" s="41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</row>
    <row r="21" spans="1:30" x14ac:dyDescent="0.15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</row>
  </sheetData>
  <mergeCells count="14">
    <mergeCell ref="B16:C19"/>
    <mergeCell ref="D16:F16"/>
    <mergeCell ref="D17:F17"/>
    <mergeCell ref="D18:F18"/>
    <mergeCell ref="D19:F19"/>
    <mergeCell ref="B15:F15"/>
    <mergeCell ref="B7:G7"/>
    <mergeCell ref="B2:C4"/>
    <mergeCell ref="D2:H2"/>
    <mergeCell ref="J2:J3"/>
    <mergeCell ref="D3:H3"/>
    <mergeCell ref="D4:E4"/>
    <mergeCell ref="B5:B6"/>
    <mergeCell ref="D5:E5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AC4"/>
  <sheetViews>
    <sheetView showGridLines="0" topLeftCell="D1" zoomScaleNormal="100" workbookViewId="0">
      <selection activeCell="P25" sqref="P25"/>
    </sheetView>
  </sheetViews>
  <sheetFormatPr defaultRowHeight="13.5" outlineLevelCol="1" x14ac:dyDescent="0.15"/>
  <cols>
    <col min="2" max="2" width="4" customWidth="1"/>
    <col min="3" max="3" width="4.5" customWidth="1"/>
    <col min="4" max="4" width="20.75" customWidth="1"/>
    <col min="5" max="16" width="7.125" customWidth="1" outlineLevel="1"/>
    <col min="17" max="29" width="7.125" customWidth="1"/>
  </cols>
  <sheetData>
    <row r="2" spans="3:29" ht="14.25" customHeight="1" thickBot="1" x14ac:dyDescent="0.2">
      <c r="C2" s="9"/>
      <c r="D2" s="15" t="s">
        <v>34</v>
      </c>
      <c r="E2" s="16" t="s">
        <v>204</v>
      </c>
      <c r="F2" s="16" t="s">
        <v>134</v>
      </c>
      <c r="G2" s="16" t="s">
        <v>135</v>
      </c>
      <c r="H2" s="16" t="s">
        <v>136</v>
      </c>
      <c r="I2" s="16" t="s">
        <v>137</v>
      </c>
      <c r="J2" s="16" t="s">
        <v>138</v>
      </c>
      <c r="K2" s="16" t="s">
        <v>139</v>
      </c>
      <c r="L2" s="16" t="s">
        <v>140</v>
      </c>
      <c r="M2" s="16" t="s">
        <v>141</v>
      </c>
      <c r="N2" s="16" t="s">
        <v>142</v>
      </c>
      <c r="O2" s="16" t="s">
        <v>143</v>
      </c>
      <c r="P2" s="16" t="s">
        <v>144</v>
      </c>
      <c r="Q2" s="16" t="s">
        <v>145</v>
      </c>
      <c r="R2" s="16" t="s">
        <v>146</v>
      </c>
      <c r="S2" s="16" t="s">
        <v>147</v>
      </c>
      <c r="T2" s="16" t="s">
        <v>148</v>
      </c>
      <c r="U2" s="16" t="s">
        <v>149</v>
      </c>
      <c r="V2" s="16" t="s">
        <v>150</v>
      </c>
      <c r="W2" s="16" t="s">
        <v>151</v>
      </c>
      <c r="X2" s="16" t="s">
        <v>152</v>
      </c>
      <c r="Y2" s="16" t="s">
        <v>153</v>
      </c>
      <c r="Z2" s="16" t="s">
        <v>154</v>
      </c>
      <c r="AA2" s="16" t="s">
        <v>155</v>
      </c>
      <c r="AB2" s="16" t="s">
        <v>156</v>
      </c>
      <c r="AC2" s="16" t="s">
        <v>157</v>
      </c>
    </row>
    <row r="3" spans="3:29" ht="2.25" hidden="1" customHeight="1" thickTop="1" x14ac:dyDescent="0.15">
      <c r="C3" s="9"/>
      <c r="D3" s="150" t="s">
        <v>4</v>
      </c>
      <c r="E3" s="13">
        <v>21000</v>
      </c>
      <c r="F3" s="14">
        <v>20930</v>
      </c>
      <c r="G3" s="14">
        <v>20846</v>
      </c>
      <c r="H3" s="14">
        <v>20748</v>
      </c>
      <c r="I3" s="14">
        <v>20636</v>
      </c>
      <c r="J3" s="14">
        <v>20510</v>
      </c>
      <c r="K3" s="14">
        <v>20370</v>
      </c>
      <c r="L3" s="14">
        <v>20216</v>
      </c>
      <c r="M3" s="14">
        <v>20048</v>
      </c>
      <c r="N3" s="14">
        <v>19866</v>
      </c>
      <c r="O3" s="14">
        <v>19670</v>
      </c>
      <c r="P3" s="14">
        <v>19460</v>
      </c>
      <c r="Q3" s="14">
        <v>19236</v>
      </c>
      <c r="R3" s="14">
        <v>18998</v>
      </c>
      <c r="S3" s="14">
        <v>18746</v>
      </c>
      <c r="T3" s="14">
        <v>18480</v>
      </c>
      <c r="U3" s="14">
        <v>18200</v>
      </c>
      <c r="V3" s="14">
        <v>17906</v>
      </c>
      <c r="W3" s="14">
        <v>17598</v>
      </c>
      <c r="X3" s="14">
        <v>17276</v>
      </c>
      <c r="Y3" s="14">
        <v>16940</v>
      </c>
      <c r="Z3" s="14">
        <v>16590</v>
      </c>
      <c r="AA3" s="14">
        <v>16226</v>
      </c>
      <c r="AB3" s="14">
        <v>15848</v>
      </c>
      <c r="AC3" s="14">
        <v>15456</v>
      </c>
    </row>
    <row r="4" spans="3:29" ht="17.25" customHeight="1" thickTop="1" x14ac:dyDescent="0.15">
      <c r="C4" s="9"/>
      <c r="D4" s="12" t="s">
        <v>4</v>
      </c>
      <c r="E4" s="13">
        <v>15500</v>
      </c>
      <c r="F4" s="14">
        <f t="shared" ref="F4:AC4" si="0">+E4*F3/E3</f>
        <v>15448.333333333334</v>
      </c>
      <c r="G4" s="14">
        <f t="shared" si="0"/>
        <v>15386.333333333334</v>
      </c>
      <c r="H4" s="14">
        <f t="shared" si="0"/>
        <v>15314</v>
      </c>
      <c r="I4" s="14">
        <f t="shared" si="0"/>
        <v>15231.333333333334</v>
      </c>
      <c r="J4" s="14">
        <f t="shared" si="0"/>
        <v>15138.333333333334</v>
      </c>
      <c r="K4" s="14">
        <f t="shared" si="0"/>
        <v>15035</v>
      </c>
      <c r="L4" s="14">
        <f t="shared" si="0"/>
        <v>14921.333333333334</v>
      </c>
      <c r="M4" s="14">
        <f t="shared" si="0"/>
        <v>14797.333333333334</v>
      </c>
      <c r="N4" s="14">
        <f t="shared" si="0"/>
        <v>14663</v>
      </c>
      <c r="O4" s="14">
        <f t="shared" si="0"/>
        <v>14518.333333333334</v>
      </c>
      <c r="P4" s="14">
        <f t="shared" si="0"/>
        <v>14363.333333333334</v>
      </c>
      <c r="Q4" s="14">
        <f t="shared" si="0"/>
        <v>14198</v>
      </c>
      <c r="R4" s="14">
        <f t="shared" si="0"/>
        <v>14022.333333333334</v>
      </c>
      <c r="S4" s="14">
        <f t="shared" si="0"/>
        <v>13836.333333333334</v>
      </c>
      <c r="T4" s="14">
        <f t="shared" si="0"/>
        <v>13640</v>
      </c>
      <c r="U4" s="14">
        <f t="shared" si="0"/>
        <v>13433.333333333334</v>
      </c>
      <c r="V4" s="14">
        <f t="shared" si="0"/>
        <v>13216.333333333334</v>
      </c>
      <c r="W4" s="14">
        <f t="shared" si="0"/>
        <v>12989</v>
      </c>
      <c r="X4" s="14">
        <f t="shared" si="0"/>
        <v>12751.333333333334</v>
      </c>
      <c r="Y4" s="14">
        <f t="shared" si="0"/>
        <v>12503.333333333334</v>
      </c>
      <c r="Z4" s="14">
        <f t="shared" si="0"/>
        <v>12245</v>
      </c>
      <c r="AA4" s="14">
        <f t="shared" si="0"/>
        <v>11976.333333333334</v>
      </c>
      <c r="AB4" s="14">
        <f t="shared" si="0"/>
        <v>11697.333333333334</v>
      </c>
      <c r="AC4" s="14">
        <f t="shared" si="0"/>
        <v>11408</v>
      </c>
    </row>
  </sheetData>
  <phoneticPr fontId="1"/>
  <pageMargins left="0.7" right="0.7" top="0.75" bottom="0.75" header="0.3" footer="0.3"/>
  <ignoredErrors>
    <ignoredError sqref="F2:AC2" numberStoredAsText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29"/>
  <sheetViews>
    <sheetView showGridLines="0" zoomScaleNormal="100" workbookViewId="0">
      <selection activeCell="E11" sqref="E11"/>
    </sheetView>
  </sheetViews>
  <sheetFormatPr defaultRowHeight="13.5" outlineLevelCol="1" x14ac:dyDescent="0.15"/>
  <cols>
    <col min="2" max="2" width="3.375" customWidth="1"/>
    <col min="3" max="3" width="4.125" customWidth="1"/>
    <col min="4" max="4" width="19.5" customWidth="1"/>
    <col min="5" max="16" width="9" customWidth="1" outlineLevel="1"/>
    <col min="29" max="29" width="9" customWidth="1"/>
  </cols>
  <sheetData>
    <row r="2" spans="2:29" ht="15" customHeight="1" thickBot="1" x14ac:dyDescent="0.2">
      <c r="B2" s="210" t="s">
        <v>3</v>
      </c>
      <c r="C2" s="210"/>
      <c r="D2" s="210"/>
      <c r="E2" s="19" t="s">
        <v>158</v>
      </c>
      <c r="F2" s="15" t="s">
        <v>35</v>
      </c>
    </row>
    <row r="3" spans="2:29" ht="15" customHeight="1" thickTop="1" x14ac:dyDescent="0.15">
      <c r="B3" s="211" t="s">
        <v>4</v>
      </c>
      <c r="C3" s="212"/>
      <c r="D3" s="213"/>
      <c r="E3" s="13">
        <f>行政人口の見通し!E4</f>
        <v>15500</v>
      </c>
      <c r="F3" s="18">
        <f>E3/$E$3</f>
        <v>1</v>
      </c>
    </row>
    <row r="4" spans="2:29" ht="15" customHeight="1" x14ac:dyDescent="0.15">
      <c r="B4" s="6"/>
      <c r="C4" s="5" t="s">
        <v>6</v>
      </c>
      <c r="D4" s="3"/>
      <c r="E4" s="4">
        <f>E5</f>
        <v>14000</v>
      </c>
      <c r="F4" s="18">
        <f t="shared" ref="F4" si="0">E4/$E$3</f>
        <v>0.90322580645161288</v>
      </c>
    </row>
    <row r="5" spans="2:29" ht="15" customHeight="1" x14ac:dyDescent="0.15">
      <c r="B5" s="6"/>
      <c r="C5" s="6"/>
      <c r="D5" s="3" t="s">
        <v>7</v>
      </c>
      <c r="E5" s="4">
        <v>14000</v>
      </c>
      <c r="F5" s="18">
        <f>E5/$E$3</f>
        <v>0.90322580645161288</v>
      </c>
    </row>
    <row r="6" spans="2:29" ht="15" customHeight="1" x14ac:dyDescent="0.15">
      <c r="B6" s="7"/>
      <c r="C6" s="21" t="s">
        <v>8</v>
      </c>
      <c r="D6" s="21"/>
      <c r="E6" s="71">
        <v>1500</v>
      </c>
      <c r="F6" s="83">
        <f>E6/$E$3</f>
        <v>9.6774193548387094E-2</v>
      </c>
    </row>
    <row r="7" spans="2:29" ht="15" customHeight="1" x14ac:dyDescent="0.15"/>
    <row r="8" spans="2:29" ht="15" customHeight="1" thickBot="1" x14ac:dyDescent="0.2">
      <c r="B8" s="210" t="s">
        <v>3</v>
      </c>
      <c r="C8" s="210"/>
      <c r="D8" s="210"/>
      <c r="E8" s="19" t="s">
        <v>205</v>
      </c>
      <c r="F8" s="19">
        <v>2</v>
      </c>
      <c r="G8" s="19">
        <v>3</v>
      </c>
      <c r="H8" s="19">
        <v>4</v>
      </c>
      <c r="I8" s="19">
        <v>5</v>
      </c>
      <c r="J8" s="19">
        <v>6</v>
      </c>
      <c r="K8" s="19">
        <v>7</v>
      </c>
      <c r="L8" s="19">
        <v>8</v>
      </c>
      <c r="M8" s="19">
        <v>9</v>
      </c>
      <c r="N8" s="19">
        <v>10</v>
      </c>
      <c r="O8" s="19">
        <v>11</v>
      </c>
      <c r="P8" s="19">
        <v>12</v>
      </c>
      <c r="Q8" s="19">
        <v>13</v>
      </c>
      <c r="R8" s="19">
        <v>14</v>
      </c>
      <c r="S8" s="19">
        <v>15</v>
      </c>
      <c r="T8" s="19">
        <v>16</v>
      </c>
      <c r="U8" s="19">
        <v>17</v>
      </c>
      <c r="V8" s="19">
        <v>18</v>
      </c>
      <c r="W8" s="19">
        <v>19</v>
      </c>
      <c r="X8" s="19">
        <v>20</v>
      </c>
      <c r="Y8" s="19">
        <v>21</v>
      </c>
      <c r="Z8" s="19">
        <v>22</v>
      </c>
      <c r="AA8" s="19">
        <v>23</v>
      </c>
      <c r="AB8" s="19">
        <v>24</v>
      </c>
      <c r="AC8" s="19">
        <v>25</v>
      </c>
    </row>
    <row r="9" spans="2:29" ht="15" customHeight="1" thickTop="1" x14ac:dyDescent="0.15">
      <c r="B9" s="211" t="s">
        <v>4</v>
      </c>
      <c r="C9" s="212"/>
      <c r="D9" s="213"/>
      <c r="E9" s="13">
        <f>行政人口の見通し!E4</f>
        <v>15500</v>
      </c>
      <c r="F9" s="13">
        <f>行政人口の見通し!F4</f>
        <v>15448.333333333334</v>
      </c>
      <c r="G9" s="13">
        <f>行政人口の見通し!G4</f>
        <v>15386.333333333334</v>
      </c>
      <c r="H9" s="13">
        <f>行政人口の見通し!H4</f>
        <v>15314</v>
      </c>
      <c r="I9" s="13">
        <f>行政人口の見通し!I4</f>
        <v>15231.333333333334</v>
      </c>
      <c r="J9" s="13">
        <f>行政人口の見通し!J4</f>
        <v>15138.333333333334</v>
      </c>
      <c r="K9" s="13">
        <f>行政人口の見通し!K4</f>
        <v>15035</v>
      </c>
      <c r="L9" s="13">
        <f>行政人口の見通し!L4</f>
        <v>14921.333333333334</v>
      </c>
      <c r="M9" s="13">
        <f>行政人口の見通し!M4</f>
        <v>14797.333333333334</v>
      </c>
      <c r="N9" s="13">
        <f>行政人口の見通し!N4</f>
        <v>14663</v>
      </c>
      <c r="O9" s="13">
        <f>行政人口の見通し!O4</f>
        <v>14518.333333333334</v>
      </c>
      <c r="P9" s="13">
        <f>行政人口の見通し!P4</f>
        <v>14363.333333333334</v>
      </c>
      <c r="Q9" s="13">
        <f>行政人口の見通し!Q4</f>
        <v>14198</v>
      </c>
      <c r="R9" s="13">
        <f>行政人口の見通し!R4</f>
        <v>14022.333333333334</v>
      </c>
      <c r="S9" s="13">
        <f>行政人口の見通し!S4</f>
        <v>13836.333333333334</v>
      </c>
      <c r="T9" s="13">
        <f>行政人口の見通し!T4</f>
        <v>13640</v>
      </c>
      <c r="U9" s="13">
        <f>行政人口の見通し!U4</f>
        <v>13433.333333333334</v>
      </c>
      <c r="V9" s="13">
        <f>行政人口の見通し!V4</f>
        <v>13216.333333333334</v>
      </c>
      <c r="W9" s="13">
        <f>行政人口の見通し!W4</f>
        <v>12989</v>
      </c>
      <c r="X9" s="13">
        <f>行政人口の見通し!X4</f>
        <v>12751.333333333334</v>
      </c>
      <c r="Y9" s="13">
        <f>行政人口の見通し!Y4</f>
        <v>12503.333333333334</v>
      </c>
      <c r="Z9" s="13">
        <f>行政人口の見通し!Z4</f>
        <v>12245</v>
      </c>
      <c r="AA9" s="13">
        <f>行政人口の見通し!AA4</f>
        <v>11976.333333333334</v>
      </c>
      <c r="AB9" s="13">
        <f>行政人口の見通し!AB4</f>
        <v>11697.333333333334</v>
      </c>
      <c r="AC9" s="13">
        <f>行政人口の見通し!AC4</f>
        <v>11408</v>
      </c>
    </row>
    <row r="10" spans="2:29" ht="15" customHeight="1" x14ac:dyDescent="0.15">
      <c r="B10" s="6"/>
      <c r="C10" s="5" t="s">
        <v>6</v>
      </c>
      <c r="D10" s="3"/>
      <c r="E10" s="13">
        <f>E4</f>
        <v>14000</v>
      </c>
      <c r="F10" s="13">
        <f>SUM(F11)</f>
        <v>13953</v>
      </c>
      <c r="G10" s="13">
        <f t="shared" ref="G10:AC10" si="1">SUM(G11)</f>
        <v>13897</v>
      </c>
      <c r="H10" s="13">
        <f t="shared" si="1"/>
        <v>13832</v>
      </c>
      <c r="I10" s="13">
        <f t="shared" si="1"/>
        <v>13757</v>
      </c>
      <c r="J10" s="13">
        <f t="shared" si="1"/>
        <v>13673</v>
      </c>
      <c r="K10" s="13">
        <f t="shared" si="1"/>
        <v>13580</v>
      </c>
      <c r="L10" s="13">
        <f t="shared" si="1"/>
        <v>13477</v>
      </c>
      <c r="M10" s="13">
        <f t="shared" si="1"/>
        <v>13365</v>
      </c>
      <c r="N10" s="13">
        <f t="shared" si="1"/>
        <v>13244</v>
      </c>
      <c r="O10" s="13">
        <f t="shared" si="1"/>
        <v>13113</v>
      </c>
      <c r="P10" s="13">
        <f t="shared" si="1"/>
        <v>12973</v>
      </c>
      <c r="Q10" s="13">
        <f t="shared" si="1"/>
        <v>12824</v>
      </c>
      <c r="R10" s="13">
        <f t="shared" si="1"/>
        <v>12665</v>
      </c>
      <c r="S10" s="13">
        <f t="shared" si="1"/>
        <v>12497</v>
      </c>
      <c r="T10" s="13">
        <f t="shared" si="1"/>
        <v>12320</v>
      </c>
      <c r="U10" s="13">
        <f t="shared" si="1"/>
        <v>12133</v>
      </c>
      <c r="V10" s="13">
        <f t="shared" si="1"/>
        <v>11937</v>
      </c>
      <c r="W10" s="13">
        <f t="shared" si="1"/>
        <v>11732</v>
      </c>
      <c r="X10" s="13">
        <f t="shared" si="1"/>
        <v>11517</v>
      </c>
      <c r="Y10" s="13">
        <f t="shared" si="1"/>
        <v>11293</v>
      </c>
      <c r="Z10" s="13">
        <f t="shared" si="1"/>
        <v>11060</v>
      </c>
      <c r="AA10" s="13">
        <f t="shared" si="1"/>
        <v>10817</v>
      </c>
      <c r="AB10" s="13">
        <f t="shared" si="1"/>
        <v>10565</v>
      </c>
      <c r="AC10" s="13">
        <f t="shared" si="1"/>
        <v>10304</v>
      </c>
    </row>
    <row r="11" spans="2:29" ht="15" customHeight="1" x14ac:dyDescent="0.15">
      <c r="B11" s="6"/>
      <c r="C11" s="6"/>
      <c r="D11" s="3" t="s">
        <v>7</v>
      </c>
      <c r="E11" s="13">
        <f>E5</f>
        <v>14000</v>
      </c>
      <c r="F11" s="13">
        <f t="shared" ref="F11:AC11" si="2">ROUND(F$9*$F5,0)</f>
        <v>13953</v>
      </c>
      <c r="G11" s="13">
        <f t="shared" si="2"/>
        <v>13897</v>
      </c>
      <c r="H11" s="13">
        <f t="shared" si="2"/>
        <v>13832</v>
      </c>
      <c r="I11" s="13">
        <f t="shared" si="2"/>
        <v>13757</v>
      </c>
      <c r="J11" s="13">
        <f t="shared" si="2"/>
        <v>13673</v>
      </c>
      <c r="K11" s="13">
        <f t="shared" si="2"/>
        <v>13580</v>
      </c>
      <c r="L11" s="13">
        <f t="shared" si="2"/>
        <v>13477</v>
      </c>
      <c r="M11" s="13">
        <f t="shared" si="2"/>
        <v>13365</v>
      </c>
      <c r="N11" s="13">
        <f t="shared" si="2"/>
        <v>13244</v>
      </c>
      <c r="O11" s="13">
        <f t="shared" si="2"/>
        <v>13113</v>
      </c>
      <c r="P11" s="13">
        <f t="shared" si="2"/>
        <v>12973</v>
      </c>
      <c r="Q11" s="13">
        <f t="shared" si="2"/>
        <v>12824</v>
      </c>
      <c r="R11" s="13">
        <f t="shared" si="2"/>
        <v>12665</v>
      </c>
      <c r="S11" s="13">
        <f t="shared" si="2"/>
        <v>12497</v>
      </c>
      <c r="T11" s="13">
        <f t="shared" si="2"/>
        <v>12320</v>
      </c>
      <c r="U11" s="13">
        <f t="shared" si="2"/>
        <v>12133</v>
      </c>
      <c r="V11" s="13">
        <f t="shared" si="2"/>
        <v>11937</v>
      </c>
      <c r="W11" s="13">
        <f t="shared" si="2"/>
        <v>11732</v>
      </c>
      <c r="X11" s="13">
        <f t="shared" si="2"/>
        <v>11517</v>
      </c>
      <c r="Y11" s="13">
        <f t="shared" si="2"/>
        <v>11293</v>
      </c>
      <c r="Z11" s="13">
        <f t="shared" si="2"/>
        <v>11060</v>
      </c>
      <c r="AA11" s="13">
        <f t="shared" si="2"/>
        <v>10817</v>
      </c>
      <c r="AB11" s="13">
        <f t="shared" si="2"/>
        <v>10565</v>
      </c>
      <c r="AC11" s="13">
        <f t="shared" si="2"/>
        <v>10304</v>
      </c>
    </row>
    <row r="12" spans="2:29" ht="15" customHeight="1" x14ac:dyDescent="0.15">
      <c r="B12" s="7"/>
      <c r="C12" s="21" t="s">
        <v>8</v>
      </c>
      <c r="D12" s="21"/>
      <c r="E12" s="153">
        <f>E6</f>
        <v>1500</v>
      </c>
      <c r="F12" s="153">
        <f t="shared" ref="F12:AC12" si="3">ROUND(F$9*$F6,0)</f>
        <v>1495</v>
      </c>
      <c r="G12" s="153">
        <f t="shared" si="3"/>
        <v>1489</v>
      </c>
      <c r="H12" s="153">
        <f t="shared" si="3"/>
        <v>1482</v>
      </c>
      <c r="I12" s="153">
        <f t="shared" si="3"/>
        <v>1474</v>
      </c>
      <c r="J12" s="153">
        <f t="shared" si="3"/>
        <v>1465</v>
      </c>
      <c r="K12" s="153">
        <f t="shared" si="3"/>
        <v>1455</v>
      </c>
      <c r="L12" s="153">
        <f t="shared" si="3"/>
        <v>1444</v>
      </c>
      <c r="M12" s="153">
        <f t="shared" si="3"/>
        <v>1432</v>
      </c>
      <c r="N12" s="153">
        <f t="shared" si="3"/>
        <v>1419</v>
      </c>
      <c r="O12" s="153">
        <f t="shared" si="3"/>
        <v>1405</v>
      </c>
      <c r="P12" s="153">
        <f t="shared" si="3"/>
        <v>1390</v>
      </c>
      <c r="Q12" s="153">
        <f t="shared" si="3"/>
        <v>1374</v>
      </c>
      <c r="R12" s="153">
        <f t="shared" si="3"/>
        <v>1357</v>
      </c>
      <c r="S12" s="153">
        <f t="shared" si="3"/>
        <v>1339</v>
      </c>
      <c r="T12" s="153">
        <f t="shared" si="3"/>
        <v>1320</v>
      </c>
      <c r="U12" s="153">
        <f t="shared" si="3"/>
        <v>1300</v>
      </c>
      <c r="V12" s="153">
        <f t="shared" si="3"/>
        <v>1279</v>
      </c>
      <c r="W12" s="153">
        <f t="shared" si="3"/>
        <v>1257</v>
      </c>
      <c r="X12" s="153">
        <f t="shared" si="3"/>
        <v>1234</v>
      </c>
      <c r="Y12" s="153">
        <f t="shared" si="3"/>
        <v>1210</v>
      </c>
      <c r="Z12" s="153">
        <f t="shared" si="3"/>
        <v>1185</v>
      </c>
      <c r="AA12" s="153">
        <f t="shared" si="3"/>
        <v>1159</v>
      </c>
      <c r="AB12" s="153">
        <f t="shared" si="3"/>
        <v>1132</v>
      </c>
      <c r="AC12" s="153">
        <f t="shared" si="3"/>
        <v>1104</v>
      </c>
    </row>
    <row r="13" spans="2:29" ht="15" customHeight="1" x14ac:dyDescent="0.15">
      <c r="F13" s="10"/>
    </row>
    <row r="27" spans="6:7" x14ac:dyDescent="0.15">
      <c r="G27" s="75"/>
    </row>
    <row r="29" spans="6:7" x14ac:dyDescent="0.15">
      <c r="F29" s="75"/>
    </row>
  </sheetData>
  <mergeCells count="4">
    <mergeCell ref="B2:D2"/>
    <mergeCell ref="B3:D3"/>
    <mergeCell ref="B8:D8"/>
    <mergeCell ref="B9:D9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10"/>
  <sheetViews>
    <sheetView showGridLines="0" workbookViewId="0">
      <selection activeCell="E9" sqref="E9"/>
    </sheetView>
  </sheetViews>
  <sheetFormatPr defaultRowHeight="13.5" x14ac:dyDescent="0.15"/>
  <cols>
    <col min="2" max="2" width="25.25" bestFit="1" customWidth="1"/>
    <col min="3" max="3" width="9" bestFit="1" customWidth="1"/>
    <col min="4" max="5" width="13.25" customWidth="1"/>
    <col min="6" max="6" width="8.875" customWidth="1"/>
  </cols>
  <sheetData>
    <row r="4" spans="2:6" x14ac:dyDescent="0.15">
      <c r="B4" s="214" t="s">
        <v>52</v>
      </c>
      <c r="C4" s="214" t="s">
        <v>49</v>
      </c>
      <c r="D4" s="27" t="s">
        <v>55</v>
      </c>
      <c r="E4" s="27" t="s">
        <v>169</v>
      </c>
      <c r="F4" s="27" t="s">
        <v>54</v>
      </c>
    </row>
    <row r="5" spans="2:6" ht="15.75" x14ac:dyDescent="0.15">
      <c r="B5" s="215"/>
      <c r="C5" s="215"/>
      <c r="D5" s="82" t="s">
        <v>159</v>
      </c>
      <c r="E5" s="82" t="s">
        <v>159</v>
      </c>
      <c r="F5" s="82" t="s">
        <v>36</v>
      </c>
    </row>
    <row r="6" spans="2:6" ht="14.25" thickBot="1" x14ac:dyDescent="0.2">
      <c r="B6" s="210"/>
      <c r="C6" s="210"/>
      <c r="D6" s="28" t="s">
        <v>160</v>
      </c>
      <c r="E6" s="28" t="s">
        <v>161</v>
      </c>
      <c r="F6" s="28" t="s">
        <v>162</v>
      </c>
    </row>
    <row r="7" spans="2:6" ht="16.5" customHeight="1" thickTop="1" x14ac:dyDescent="0.15">
      <c r="B7" s="7" t="s">
        <v>56</v>
      </c>
      <c r="C7" s="7" t="s">
        <v>50</v>
      </c>
      <c r="D7" s="13">
        <v>9000</v>
      </c>
      <c r="E7" s="14">
        <f>'整備の現状、人口見通し'!E5*汚水量原単位!C4/1000</f>
        <v>4060</v>
      </c>
      <c r="F7" s="26">
        <f>E7/D7</f>
        <v>0.45111111111111113</v>
      </c>
    </row>
    <row r="8" spans="2:6" ht="16.5" customHeight="1" x14ac:dyDescent="0.15">
      <c r="B8" s="3" t="s">
        <v>53</v>
      </c>
      <c r="C8" s="21" t="s">
        <v>51</v>
      </c>
      <c r="D8" s="4">
        <v>800</v>
      </c>
      <c r="E8" s="11">
        <f>'整備の現状、人口見通し'!E6*汚水量原単位!C5/1000</f>
        <v>405</v>
      </c>
      <c r="F8" s="25">
        <f>E8/D8</f>
        <v>0.50624999999999998</v>
      </c>
    </row>
    <row r="9" spans="2:6" ht="27" customHeight="1" x14ac:dyDescent="0.15">
      <c r="B9" s="29"/>
    </row>
    <row r="10" spans="2:6" ht="27" customHeight="1" x14ac:dyDescent="0.15"/>
  </sheetData>
  <mergeCells count="2">
    <mergeCell ref="C4:C6"/>
    <mergeCell ref="B4:B6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6"/>
  <sheetViews>
    <sheetView showGridLines="0" workbookViewId="0">
      <selection activeCell="E21" sqref="E21"/>
    </sheetView>
  </sheetViews>
  <sheetFormatPr defaultRowHeight="13.5" x14ac:dyDescent="0.15"/>
  <cols>
    <col min="2" max="2" width="13.375" customWidth="1"/>
    <col min="3" max="3" width="21" customWidth="1"/>
    <col min="4" max="6" width="13.75" customWidth="1"/>
    <col min="7" max="7" width="25.25" customWidth="1"/>
    <col min="8" max="8" width="15.5" customWidth="1"/>
  </cols>
  <sheetData>
    <row r="3" spans="2:8" ht="13.5" customHeight="1" x14ac:dyDescent="0.15">
      <c r="B3" s="215" t="s">
        <v>52</v>
      </c>
      <c r="C3" s="224" t="s">
        <v>49</v>
      </c>
      <c r="D3" s="218" t="s">
        <v>163</v>
      </c>
      <c r="E3" s="219"/>
      <c r="F3" s="220"/>
      <c r="G3" s="216" t="s">
        <v>164</v>
      </c>
      <c r="H3" s="221" t="s">
        <v>70</v>
      </c>
    </row>
    <row r="4" spans="2:8" ht="27.75" thickBot="1" x14ac:dyDescent="0.2">
      <c r="B4" s="223"/>
      <c r="C4" s="225"/>
      <c r="D4" s="84" t="s">
        <v>166</v>
      </c>
      <c r="E4" s="65" t="s">
        <v>167</v>
      </c>
      <c r="F4" s="65" t="s">
        <v>168</v>
      </c>
      <c r="G4" s="217"/>
      <c r="H4" s="222"/>
    </row>
    <row r="5" spans="2:8" ht="19.5" customHeight="1" thickTop="1" x14ac:dyDescent="0.15">
      <c r="B5" s="168" t="s">
        <v>56</v>
      </c>
      <c r="C5" s="7" t="s">
        <v>50</v>
      </c>
      <c r="D5" s="13">
        <f>D11*処理能力と稼働率!E7*365/1000</f>
        <v>111142.5</v>
      </c>
      <c r="E5" s="13">
        <f>+D5-F5</f>
        <v>94841.600000000006</v>
      </c>
      <c r="F5" s="13">
        <f>F11*処理能力と稼働率!E7*365/1000</f>
        <v>16300.9</v>
      </c>
      <c r="G5" s="13">
        <f>F5/15*1000</f>
        <v>1086726.6666666667</v>
      </c>
      <c r="H5" s="83"/>
    </row>
    <row r="6" spans="2:8" ht="19.5" customHeight="1" x14ac:dyDescent="0.15">
      <c r="B6" s="160" t="s">
        <v>53</v>
      </c>
      <c r="C6" s="21" t="s">
        <v>51</v>
      </c>
      <c r="D6" s="13">
        <f>D12*処理能力と稼働率!E8*365/1000</f>
        <v>26608.5</v>
      </c>
      <c r="E6" s="153">
        <f>E12*処理能力と稼働率!E8*365/1000</f>
        <v>19956.375</v>
      </c>
      <c r="F6" s="153">
        <f>F12*処理能力と稼働率!E8*365/1000</f>
        <v>6652.125</v>
      </c>
      <c r="G6" s="4">
        <f>F6/15*1000</f>
        <v>443475</v>
      </c>
      <c r="H6" s="3"/>
    </row>
    <row r="7" spans="2:8" ht="19.5" customHeight="1" x14ac:dyDescent="0.15">
      <c r="B7" s="41" t="s">
        <v>165</v>
      </c>
    </row>
    <row r="8" spans="2:8" x14ac:dyDescent="0.15">
      <c r="B8" s="161"/>
    </row>
    <row r="9" spans="2:8" ht="15.75" x14ac:dyDescent="0.15">
      <c r="F9" s="22" t="s">
        <v>218</v>
      </c>
    </row>
    <row r="10" spans="2:8" ht="27.75" thickBot="1" x14ac:dyDescent="0.2">
      <c r="B10" s="81" t="s">
        <v>52</v>
      </c>
      <c r="C10" s="81" t="s">
        <v>49</v>
      </c>
      <c r="D10" s="65" t="s">
        <v>235</v>
      </c>
      <c r="E10" s="65" t="s">
        <v>129</v>
      </c>
      <c r="F10" s="65" t="s">
        <v>128</v>
      </c>
      <c r="G10" s="88" t="s">
        <v>174</v>
      </c>
    </row>
    <row r="11" spans="2:8" ht="16.5" customHeight="1" thickTop="1" x14ac:dyDescent="0.15">
      <c r="B11" s="166" t="s">
        <v>56</v>
      </c>
      <c r="C11" s="7" t="s">
        <v>50</v>
      </c>
      <c r="D11" s="13">
        <v>75</v>
      </c>
      <c r="E11" s="13">
        <f>D11-F11</f>
        <v>64</v>
      </c>
      <c r="F11" s="13">
        <v>11</v>
      </c>
      <c r="G11" s="7"/>
    </row>
    <row r="12" spans="2:8" ht="16.5" customHeight="1" x14ac:dyDescent="0.15">
      <c r="B12" s="160" t="s">
        <v>53</v>
      </c>
      <c r="C12" s="21" t="s">
        <v>51</v>
      </c>
      <c r="D12" s="4">
        <v>180</v>
      </c>
      <c r="E12" s="71">
        <v>135</v>
      </c>
      <c r="F12" s="71">
        <f>D12-E12</f>
        <v>45</v>
      </c>
      <c r="G12" s="3"/>
    </row>
    <row r="13" spans="2:8" ht="11.25" customHeight="1" x14ac:dyDescent="0.15">
      <c r="B13" s="41" t="s">
        <v>233</v>
      </c>
    </row>
    <row r="14" spans="2:8" x14ac:dyDescent="0.15">
      <c r="B14" s="161"/>
    </row>
    <row r="16" spans="2:8" x14ac:dyDescent="0.15">
      <c r="H16" s="1"/>
    </row>
  </sheetData>
  <mergeCells count="5">
    <mergeCell ref="G3:G4"/>
    <mergeCell ref="D3:F3"/>
    <mergeCell ref="H3:H4"/>
    <mergeCell ref="B3:B4"/>
    <mergeCell ref="C3:C4"/>
  </mergeCells>
  <phoneticPr fontId="1"/>
  <pageMargins left="0.7" right="0.7" top="0.75" bottom="0.75" header="0.3" footer="0.3"/>
  <pageSetup paperSize="9" orientation="portrait" copies="0" r:id="rId1"/>
  <ignoredErrors>
    <ignoredError sqref="E5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C5"/>
  <sheetViews>
    <sheetView showGridLines="0" zoomScale="85" zoomScaleNormal="85" workbookViewId="0">
      <selection activeCell="I26" sqref="I26"/>
    </sheetView>
  </sheetViews>
  <sheetFormatPr defaultColWidth="9" defaultRowHeight="13.5" x14ac:dyDescent="0.15"/>
  <cols>
    <col min="1" max="1" width="9" style="188"/>
    <col min="2" max="2" width="17.25" style="188" customWidth="1"/>
    <col min="3" max="4" width="8.875" style="188" customWidth="1"/>
    <col min="5" max="29" width="4.625" style="188" customWidth="1"/>
    <col min="30" max="16384" width="9" style="188"/>
  </cols>
  <sheetData>
    <row r="3" spans="2:29" ht="14.25" thickBot="1" x14ac:dyDescent="0.2">
      <c r="B3" s="184"/>
      <c r="C3" s="185" t="s">
        <v>245</v>
      </c>
      <c r="D3" s="186" t="s">
        <v>246</v>
      </c>
      <c r="E3" s="187">
        <v>1</v>
      </c>
      <c r="F3" s="187">
        <v>2</v>
      </c>
      <c r="G3" s="187">
        <v>3</v>
      </c>
      <c r="H3" s="187">
        <v>4</v>
      </c>
      <c r="I3" s="187">
        <v>5</v>
      </c>
      <c r="J3" s="187">
        <v>6</v>
      </c>
      <c r="K3" s="187">
        <v>7</v>
      </c>
      <c r="L3" s="187">
        <v>8</v>
      </c>
      <c r="M3" s="187">
        <v>9</v>
      </c>
      <c r="N3" s="187">
        <v>10</v>
      </c>
      <c r="O3" s="187">
        <v>11</v>
      </c>
      <c r="P3" s="187">
        <v>12</v>
      </c>
      <c r="Q3" s="187">
        <v>13</v>
      </c>
      <c r="R3" s="187">
        <v>14</v>
      </c>
      <c r="S3" s="187">
        <v>15</v>
      </c>
      <c r="T3" s="187">
        <v>16</v>
      </c>
      <c r="U3" s="187">
        <v>17</v>
      </c>
      <c r="V3" s="187">
        <v>18</v>
      </c>
      <c r="W3" s="187">
        <v>19</v>
      </c>
      <c r="X3" s="187">
        <v>20</v>
      </c>
      <c r="Y3" s="187">
        <v>21</v>
      </c>
      <c r="Z3" s="187">
        <v>22</v>
      </c>
      <c r="AA3" s="187">
        <v>23</v>
      </c>
      <c r="AB3" s="187">
        <v>24</v>
      </c>
      <c r="AC3" s="187">
        <v>25</v>
      </c>
    </row>
    <row r="4" spans="2:29" ht="14.25" customHeight="1" thickTop="1" x14ac:dyDescent="0.15">
      <c r="B4" s="189" t="s">
        <v>75</v>
      </c>
      <c r="C4" s="190" t="s">
        <v>247</v>
      </c>
      <c r="D4" s="191" t="s">
        <v>248</v>
      </c>
      <c r="E4" s="191"/>
      <c r="F4" s="192"/>
      <c r="G4" s="193"/>
      <c r="H4" s="193"/>
      <c r="I4" s="193"/>
      <c r="J4" s="193"/>
      <c r="K4" s="194"/>
      <c r="L4" s="193"/>
      <c r="M4" s="193"/>
      <c r="N4" s="192"/>
      <c r="O4" s="193"/>
      <c r="P4" s="195"/>
      <c r="Q4" s="192"/>
      <c r="R4" s="192"/>
      <c r="S4" s="192"/>
      <c r="T4" s="192"/>
      <c r="U4" s="192"/>
      <c r="V4" s="192"/>
      <c r="W4" s="192"/>
      <c r="X4" s="192"/>
      <c r="Y4" s="192"/>
      <c r="Z4" s="192"/>
      <c r="AA4" s="192"/>
      <c r="AB4" s="192"/>
      <c r="AC4" s="192"/>
    </row>
    <row r="5" spans="2:29" x14ac:dyDescent="0.15">
      <c r="B5" s="196" t="s">
        <v>53</v>
      </c>
      <c r="C5" s="197" t="s">
        <v>247</v>
      </c>
      <c r="D5" s="198" t="s">
        <v>249</v>
      </c>
      <c r="E5" s="199"/>
      <c r="F5" s="200"/>
      <c r="G5" s="200"/>
      <c r="H5" s="200"/>
      <c r="I5" s="200"/>
      <c r="J5" s="201"/>
      <c r="K5" s="200"/>
      <c r="L5" s="200"/>
      <c r="M5" s="200"/>
      <c r="N5" s="202"/>
      <c r="O5" s="200"/>
      <c r="P5" s="202"/>
      <c r="Q5" s="202"/>
      <c r="R5" s="202"/>
      <c r="S5" s="202"/>
      <c r="T5" s="202"/>
      <c r="U5" s="202"/>
      <c r="V5" s="202"/>
      <c r="W5" s="202"/>
      <c r="X5" s="202"/>
      <c r="Y5" s="202"/>
      <c r="Z5" s="202"/>
      <c r="AA5" s="202"/>
      <c r="AB5" s="202"/>
      <c r="AC5" s="202"/>
    </row>
  </sheetData>
  <phoneticPr fontId="1"/>
  <pageMargins left="0.69930555555555596" right="0.69930555555555596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showGridLines="0" workbookViewId="0">
      <selection activeCell="D36" sqref="D36"/>
    </sheetView>
  </sheetViews>
  <sheetFormatPr defaultRowHeight="13.5" x14ac:dyDescent="0.15"/>
  <cols>
    <col min="2" max="2" width="16.625" bestFit="1" customWidth="1"/>
    <col min="3" max="4" width="12.625" customWidth="1"/>
    <col min="5" max="5" width="20.875" customWidth="1"/>
  </cols>
  <sheetData>
    <row r="1" spans="1:5" x14ac:dyDescent="0.15">
      <c r="E1" s="22" t="s">
        <v>42</v>
      </c>
    </row>
    <row r="2" spans="1:5" ht="20.100000000000001" customHeight="1" x14ac:dyDescent="0.15">
      <c r="A2" s="214" t="s">
        <v>63</v>
      </c>
      <c r="B2" s="214"/>
      <c r="C2" s="214" t="s">
        <v>61</v>
      </c>
      <c r="D2" s="214"/>
      <c r="E2" s="214" t="s">
        <v>70</v>
      </c>
    </row>
    <row r="3" spans="1:5" ht="20.100000000000001" customHeight="1" thickBot="1" x14ac:dyDescent="0.2">
      <c r="A3" s="210"/>
      <c r="B3" s="210"/>
      <c r="C3" s="38" t="s">
        <v>39</v>
      </c>
      <c r="D3" s="38" t="s">
        <v>40</v>
      </c>
      <c r="E3" s="210"/>
    </row>
    <row r="4" spans="1:5" ht="12" customHeight="1" thickTop="1" x14ac:dyDescent="0.15">
      <c r="A4" s="226" t="s">
        <v>62</v>
      </c>
      <c r="B4" s="7" t="s">
        <v>37</v>
      </c>
      <c r="C4" s="7">
        <v>290</v>
      </c>
      <c r="D4" s="7">
        <f>+ROUND(C4/0.7,-1)</f>
        <v>410</v>
      </c>
      <c r="E4" s="7" t="s">
        <v>114</v>
      </c>
    </row>
    <row r="5" spans="1:5" ht="12" customHeight="1" x14ac:dyDescent="0.15">
      <c r="A5" s="227"/>
      <c r="B5" s="3" t="s">
        <v>38</v>
      </c>
      <c r="C5" s="3">
        <v>270</v>
      </c>
      <c r="D5" s="3">
        <f>ROUND(C5/0.75,-1)</f>
        <v>360</v>
      </c>
      <c r="E5" s="37" t="s">
        <v>43</v>
      </c>
    </row>
    <row r="6" spans="1:5" ht="12" customHeight="1" x14ac:dyDescent="0.15"/>
  </sheetData>
  <mergeCells count="4">
    <mergeCell ref="C2:D2"/>
    <mergeCell ref="E2:E3"/>
    <mergeCell ref="A2:B3"/>
    <mergeCell ref="A4:A5"/>
  </mergeCells>
  <phoneticPr fontId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1"/>
  <sheetViews>
    <sheetView showGridLines="0" workbookViewId="0">
      <selection activeCell="D15" sqref="D15"/>
    </sheetView>
  </sheetViews>
  <sheetFormatPr defaultRowHeight="13.5" x14ac:dyDescent="0.15"/>
  <cols>
    <col min="3" max="5" width="21.625" customWidth="1"/>
  </cols>
  <sheetData>
    <row r="1" spans="2:5" x14ac:dyDescent="0.15">
      <c r="E1" s="22"/>
    </row>
    <row r="3" spans="2:5" x14ac:dyDescent="0.15">
      <c r="D3" s="22" t="s">
        <v>71</v>
      </c>
    </row>
    <row r="4" spans="2:5" ht="14.25" thickBot="1" x14ac:dyDescent="0.2">
      <c r="B4" s="38" t="s">
        <v>3</v>
      </c>
      <c r="C4" s="38" t="s">
        <v>69</v>
      </c>
      <c r="D4" s="38" t="s">
        <v>70</v>
      </c>
    </row>
    <row r="5" spans="2:5" ht="14.25" thickTop="1" x14ac:dyDescent="0.15">
      <c r="B5" s="12" t="s">
        <v>64</v>
      </c>
      <c r="C5" s="204">
        <v>210</v>
      </c>
      <c r="D5" s="183" t="s">
        <v>252</v>
      </c>
    </row>
    <row r="6" spans="2:5" x14ac:dyDescent="0.15">
      <c r="B6" s="39" t="s">
        <v>65</v>
      </c>
      <c r="C6" s="2" t="s">
        <v>72</v>
      </c>
      <c r="D6" s="182" t="s">
        <v>253</v>
      </c>
    </row>
    <row r="7" spans="2:5" x14ac:dyDescent="0.15">
      <c r="B7" s="39" t="s">
        <v>67</v>
      </c>
      <c r="C7" s="2">
        <v>180</v>
      </c>
      <c r="D7" s="182" t="s">
        <v>252</v>
      </c>
    </row>
    <row r="8" spans="2:5" x14ac:dyDescent="0.15">
      <c r="B8" s="39" t="s">
        <v>66</v>
      </c>
      <c r="C8" s="2">
        <v>40</v>
      </c>
      <c r="D8" s="182" t="s">
        <v>252</v>
      </c>
    </row>
    <row r="9" spans="2:5" x14ac:dyDescent="0.15">
      <c r="B9" s="79" t="s">
        <v>132</v>
      </c>
      <c r="C9" s="2" t="s">
        <v>72</v>
      </c>
      <c r="D9" s="182" t="s">
        <v>253</v>
      </c>
    </row>
    <row r="10" spans="2:5" x14ac:dyDescent="0.15">
      <c r="B10" s="39" t="s">
        <v>68</v>
      </c>
      <c r="C10" s="2">
        <v>5</v>
      </c>
      <c r="D10" s="182" t="s">
        <v>252</v>
      </c>
    </row>
    <row r="11" spans="2:5" x14ac:dyDescent="0.15">
      <c r="D11" s="203"/>
    </row>
  </sheetData>
  <phoneticPr fontId="1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6"/>
  <sheetViews>
    <sheetView zoomScale="85" zoomScaleNormal="85" workbookViewId="0">
      <selection activeCell="C20" sqref="C20"/>
    </sheetView>
  </sheetViews>
  <sheetFormatPr defaultRowHeight="13.5" outlineLevelCol="1" x14ac:dyDescent="0.15"/>
  <cols>
    <col min="2" max="2" width="4" customWidth="1"/>
    <col min="3" max="3" width="21.375" customWidth="1"/>
    <col min="4" max="15" width="9" customWidth="1" outlineLevel="1"/>
  </cols>
  <sheetData>
    <row r="2" spans="1:28" x14ac:dyDescent="0.15">
      <c r="B2" s="20"/>
      <c r="C2" s="20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</row>
    <row r="3" spans="1:28" ht="20.100000000000001" customHeight="1" thickBot="1" x14ac:dyDescent="0.2">
      <c r="A3" s="210" t="s">
        <v>73</v>
      </c>
      <c r="B3" s="210"/>
      <c r="C3" s="210"/>
      <c r="D3" s="44" t="s">
        <v>9</v>
      </c>
      <c r="E3" s="44" t="s">
        <v>10</v>
      </c>
      <c r="F3" s="44" t="s">
        <v>11</v>
      </c>
      <c r="G3" s="44" t="s">
        <v>12</v>
      </c>
      <c r="H3" s="44" t="s">
        <v>13</v>
      </c>
      <c r="I3" s="44" t="s">
        <v>14</v>
      </c>
      <c r="J3" s="44" t="s">
        <v>15</v>
      </c>
      <c r="K3" s="44" t="s">
        <v>16</v>
      </c>
      <c r="L3" s="44" t="s">
        <v>17</v>
      </c>
      <c r="M3" s="44" t="s">
        <v>18</v>
      </c>
      <c r="N3" s="44" t="s">
        <v>19</v>
      </c>
      <c r="O3" s="44" t="s">
        <v>20</v>
      </c>
      <c r="P3" s="44" t="s">
        <v>21</v>
      </c>
      <c r="Q3" s="44" t="s">
        <v>22</v>
      </c>
      <c r="R3" s="44" t="s">
        <v>23</v>
      </c>
      <c r="S3" s="44" t="s">
        <v>24</v>
      </c>
      <c r="T3" s="44" t="s">
        <v>25</v>
      </c>
      <c r="U3" s="44" t="s">
        <v>26</v>
      </c>
      <c r="V3" s="44" t="s">
        <v>27</v>
      </c>
      <c r="W3" s="44" t="s">
        <v>28</v>
      </c>
      <c r="X3" s="44" t="s">
        <v>29</v>
      </c>
      <c r="Y3" s="44" t="s">
        <v>30</v>
      </c>
      <c r="Z3" s="44" t="s">
        <v>31</v>
      </c>
      <c r="AA3" s="44" t="s">
        <v>32</v>
      </c>
      <c r="AB3" s="19" t="s">
        <v>33</v>
      </c>
    </row>
    <row r="4" spans="1:28" ht="20.100000000000001" customHeight="1" thickTop="1" x14ac:dyDescent="0.15">
      <c r="A4" s="228" t="s">
        <v>260</v>
      </c>
      <c r="B4" s="7" t="s">
        <v>45</v>
      </c>
      <c r="C4" s="7"/>
      <c r="D4" s="14">
        <f>'整備の現状、人口見通し'!E11*汚水量原単位!$C4/1000</f>
        <v>4060</v>
      </c>
      <c r="E4" s="14">
        <f>'整備の現状、人口見通し'!F11*汚水量原単位!$C4/1000</f>
        <v>4046.37</v>
      </c>
      <c r="F4" s="14">
        <f>'整備の現状、人口見通し'!G11*汚水量原単位!$C4/1000</f>
        <v>4030.13</v>
      </c>
      <c r="G4" s="14">
        <f>'整備の現状、人口見通し'!H11*汚水量原単位!$C4/1000</f>
        <v>4011.28</v>
      </c>
      <c r="H4" s="14">
        <f>'整備の現状、人口見通し'!I11*汚水量原単位!$C4/1000</f>
        <v>3989.53</v>
      </c>
      <c r="I4" s="14">
        <f>'整備の現状、人口見通し'!J11*汚水量原単位!$C4/1000</f>
        <v>3965.17</v>
      </c>
      <c r="J4" s="14">
        <f>'整備の現状、人口見通し'!K11*汚水量原単位!$C4/1000</f>
        <v>3938.2</v>
      </c>
      <c r="K4" s="14">
        <f>'整備の現状、人口見通し'!L11*汚水量原単位!$C4/1000</f>
        <v>3908.33</v>
      </c>
      <c r="L4" s="14">
        <f>'整備の現状、人口見通し'!M11*汚水量原単位!$C4/1000</f>
        <v>3875.85</v>
      </c>
      <c r="M4" s="14">
        <f>'整備の現状、人口見通し'!N11*汚水量原単位!$C4/1000</f>
        <v>3840.76</v>
      </c>
      <c r="N4" s="14">
        <f>'整備の現状、人口見通し'!O11*汚水量原単位!$C4/1000</f>
        <v>3802.77</v>
      </c>
      <c r="O4" s="14">
        <f>'整備の現状、人口見通し'!P11*汚水量原単位!$C4/1000</f>
        <v>3762.17</v>
      </c>
      <c r="P4" s="14">
        <f>'整備の現状、人口見通し'!Q11*汚水量原単位!$C4/1000</f>
        <v>3718.96</v>
      </c>
      <c r="Q4" s="14">
        <f>'整備の現状、人口見通し'!R11*汚水量原単位!$C4/1000</f>
        <v>3672.85</v>
      </c>
      <c r="R4" s="14">
        <f>'整備の現状、人口見通し'!S11*汚水量原単位!$C4/1000</f>
        <v>3624.13</v>
      </c>
      <c r="S4" s="14">
        <f>'整備の現状、人口見通し'!T11*汚水量原単位!$C4/1000</f>
        <v>3572.8</v>
      </c>
      <c r="T4" s="14">
        <f>'整備の現状、人口見通し'!U11*汚水量原単位!$C4/1000</f>
        <v>3518.57</v>
      </c>
      <c r="U4" s="14">
        <f>'整備の現状、人口見通し'!V11*汚水量原単位!$C4/1000</f>
        <v>3461.73</v>
      </c>
      <c r="V4" s="14">
        <f>'整備の現状、人口見通し'!W11*汚水量原単位!$C4/1000</f>
        <v>3402.28</v>
      </c>
      <c r="W4" s="14">
        <f>'整備の現状、人口見通し'!X11*汚水量原単位!$C4/1000</f>
        <v>3339.93</v>
      </c>
      <c r="X4" s="14">
        <f>'整備の現状、人口見通し'!Y11*汚水量原単位!$C4/1000</f>
        <v>3274.97</v>
      </c>
      <c r="Y4" s="14">
        <f>'整備の現状、人口見通し'!Z11*汚水量原単位!$C4/1000</f>
        <v>3207.4</v>
      </c>
      <c r="Z4" s="14">
        <f>'整備の現状、人口見通し'!AA11*汚水量原単位!$C4/1000</f>
        <v>3136.93</v>
      </c>
      <c r="AA4" s="14">
        <f>'整備の現状、人口見通し'!AB11*汚水量原単位!$C4/1000</f>
        <v>3063.85</v>
      </c>
      <c r="AB4" s="14">
        <f>'整備の現状、人口見通し'!AC11*汚水量原単位!$C4/1000</f>
        <v>2988.16</v>
      </c>
    </row>
    <row r="5" spans="1:28" ht="20.100000000000001" customHeight="1" x14ac:dyDescent="0.15">
      <c r="A5" s="214"/>
      <c r="B5" s="3" t="s">
        <v>46</v>
      </c>
      <c r="C5" s="3"/>
      <c r="D5" s="14">
        <f>'整備の現状、人口見通し'!E12*汚水量原単位!$C5/1000</f>
        <v>405</v>
      </c>
      <c r="E5" s="14">
        <f>'整備の現状、人口見通し'!F12*汚水量原単位!$C5/1000</f>
        <v>403.65</v>
      </c>
      <c r="F5" s="14">
        <f>'整備の現状、人口見通し'!G12*汚水量原単位!$C5/1000</f>
        <v>402.03</v>
      </c>
      <c r="G5" s="14">
        <f>'整備の現状、人口見通し'!H12*汚水量原単位!$C5/1000</f>
        <v>400.14</v>
      </c>
      <c r="H5" s="14">
        <f>'整備の現状、人口見通し'!I12*汚水量原単位!$C5/1000</f>
        <v>397.98</v>
      </c>
      <c r="I5" s="14">
        <f>'整備の現状、人口見通し'!J12*汚水量原単位!$C5/1000</f>
        <v>395.55</v>
      </c>
      <c r="J5" s="14">
        <f>'整備の現状、人口見通し'!K12*汚水量原単位!$C5/1000</f>
        <v>392.85</v>
      </c>
      <c r="K5" s="14">
        <f>'整備の現状、人口見通し'!L12*汚水量原単位!$C5/1000</f>
        <v>389.88</v>
      </c>
      <c r="L5" s="14">
        <f>'整備の現状、人口見通し'!M12*汚水量原単位!$C5/1000</f>
        <v>386.64</v>
      </c>
      <c r="M5" s="14">
        <f>'整備の現状、人口見通し'!N12*汚水量原単位!$C5/1000</f>
        <v>383.13</v>
      </c>
      <c r="N5" s="14">
        <f>'整備の現状、人口見通し'!O12*汚水量原単位!$C5/1000</f>
        <v>379.35</v>
      </c>
      <c r="O5" s="14">
        <f>'整備の現状、人口見通し'!P12*汚水量原単位!$C5/1000</f>
        <v>375.3</v>
      </c>
      <c r="P5" s="14">
        <f>'整備の現状、人口見通し'!Q12*汚水量原単位!$C5/1000</f>
        <v>370.98</v>
      </c>
      <c r="Q5" s="14">
        <f>'整備の現状、人口見通し'!R12*汚水量原単位!$C5/1000</f>
        <v>366.39</v>
      </c>
      <c r="R5" s="14">
        <f>'整備の現状、人口見通し'!S12*汚水量原単位!$C5/1000</f>
        <v>361.53</v>
      </c>
      <c r="S5" s="14">
        <f>'整備の現状、人口見通し'!T12*汚水量原単位!$C5/1000</f>
        <v>356.4</v>
      </c>
      <c r="T5" s="14">
        <f>'整備の現状、人口見通し'!U12*汚水量原単位!$C5/1000</f>
        <v>351</v>
      </c>
      <c r="U5" s="14">
        <f>'整備の現状、人口見通し'!V12*汚水量原単位!$C5/1000</f>
        <v>345.33</v>
      </c>
      <c r="V5" s="14">
        <f>'整備の現状、人口見通し'!W12*汚水量原単位!$C5/1000</f>
        <v>339.39</v>
      </c>
      <c r="W5" s="14">
        <f>'整備の現状、人口見通し'!X12*汚水量原単位!$C5/1000</f>
        <v>333.18</v>
      </c>
      <c r="X5" s="14">
        <f>'整備の現状、人口見通し'!Y12*汚水量原単位!$C5/1000</f>
        <v>326.7</v>
      </c>
      <c r="Y5" s="14">
        <f>'整備の現状、人口見通し'!Z12*汚水量原単位!$C5/1000</f>
        <v>319.95</v>
      </c>
      <c r="Z5" s="14">
        <f>'整備の現状、人口見通し'!AA12*汚水量原単位!$C5/1000</f>
        <v>312.93</v>
      </c>
      <c r="AA5" s="14">
        <f>'整備の現状、人口見通し'!AB12*汚水量原単位!$C5/1000</f>
        <v>305.64</v>
      </c>
      <c r="AB5" s="14">
        <f>'整備の現状、人口見通し'!AC12*汚水量原単位!$C5/1000</f>
        <v>298.08</v>
      </c>
    </row>
    <row r="6" spans="1:28" ht="20.100000000000001" customHeight="1" x14ac:dyDescent="0.15"/>
  </sheetData>
  <mergeCells count="2">
    <mergeCell ref="A4:A5"/>
    <mergeCell ref="A3:C3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</vt:i4>
      </vt:variant>
    </vt:vector>
  </HeadingPairs>
  <TitlesOfParts>
    <vt:vector size="13" baseType="lpstr">
      <vt:lpstr>基礎情報</vt:lpstr>
      <vt:lpstr>行政人口の見通し</vt:lpstr>
      <vt:lpstr>整備の現状、人口見通し</vt:lpstr>
      <vt:lpstr>処理能力と稼働率</vt:lpstr>
      <vt:lpstr>維持管理費等</vt:lpstr>
      <vt:lpstr>更新時期</vt:lpstr>
      <vt:lpstr>汚水量原単位</vt:lpstr>
      <vt:lpstr>下水の流入水質</vt:lpstr>
      <vt:lpstr>流入水量</vt:lpstr>
      <vt:lpstr>将来フレーム</vt:lpstr>
      <vt:lpstr>経済性比較、エネルギー、GHG</vt:lpstr>
      <vt:lpstr>簡易的な汚泥処理施設能力確認</vt:lpstr>
      <vt:lpstr>'経済性比較、エネルギー、GHG'!Print_Area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国土技術政策総合研究所</dc:creator>
  <cp:lastPrinted>2019-05-17T01:32:31Z</cp:lastPrinted>
  <dcterms:created xsi:type="dcterms:W3CDTF">2016-11-07T08:36:55Z</dcterms:created>
  <dcterms:modified xsi:type="dcterms:W3CDTF">2019-06-17T02:30:50Z</dcterms:modified>
</cp:coreProperties>
</file>