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SUISHORI-PC\gesuishori2015\個人の部屋\41石川の部屋\技術資料（汚水処理システム効率化）\07検討例エクセルシート\"/>
    </mc:Choice>
  </mc:AlternateContent>
  <bookViews>
    <workbookView xWindow="0" yWindow="0" windowWidth="18615" windowHeight="7740"/>
  </bookViews>
  <sheets>
    <sheet name="基礎情報" sheetId="1" r:id="rId1"/>
    <sheet name="行政人口の見通し" sheetId="2" r:id="rId2"/>
    <sheet name="整備の現状、人口見通し" sheetId="3" r:id="rId3"/>
    <sheet name="処理能力と稼働率" sheetId="7" r:id="rId4"/>
    <sheet name="維持管理費等" sheetId="9" r:id="rId5"/>
    <sheet name="更新時期" sheetId="19" r:id="rId6"/>
    <sheet name="汚水量原単位" sheetId="4" r:id="rId7"/>
    <sheet name="下水の流入水質" sheetId="5" r:id="rId8"/>
    <sheet name="流入水量" sheetId="6" r:id="rId9"/>
    <sheet name="将来フレーム" sheetId="10" r:id="rId10"/>
    <sheet name="経済性比較、エネルギー、GHG" sheetId="14" r:id="rId11"/>
    <sheet name="簡易的な汚泥処理施設能力確認" sheetId="17" r:id="rId12"/>
    <sheet name="返流水負荷の計算" sheetId="16" r:id="rId13"/>
  </sheets>
  <calcPr calcId="162913"/>
</workbook>
</file>

<file path=xl/calcChain.xml><?xml version="1.0" encoding="utf-8"?>
<calcChain xmlns="http://schemas.openxmlformats.org/spreadsheetml/2006/main">
  <c r="C6" i="1" l="1"/>
  <c r="I75" i="14" l="1"/>
  <c r="I7" i="17" l="1"/>
  <c r="F7" i="16" l="1"/>
  <c r="F9" i="16" l="1"/>
  <c r="K130" i="14"/>
  <c r="C58" i="14"/>
  <c r="C57" i="14"/>
  <c r="O6" i="14"/>
  <c r="M6" i="14"/>
  <c r="G6" i="14"/>
  <c r="H12" i="14" s="1"/>
  <c r="H118" i="14" s="1"/>
  <c r="C6" i="14"/>
  <c r="G5" i="14"/>
  <c r="J63" i="14" s="1"/>
  <c r="C5" i="14"/>
  <c r="AA2" i="10"/>
  <c r="Z2" i="10"/>
  <c r="Y2" i="10"/>
  <c r="X2" i="10"/>
  <c r="W2" i="10"/>
  <c r="V2" i="10"/>
  <c r="U2" i="10"/>
  <c r="T2" i="10"/>
  <c r="S2" i="10"/>
  <c r="R2" i="10"/>
  <c r="Q2" i="10"/>
  <c r="P2" i="10"/>
  <c r="O2" i="10"/>
  <c r="N2" i="10"/>
  <c r="M2" i="10"/>
  <c r="L2" i="10"/>
  <c r="K2" i="10"/>
  <c r="J2" i="10"/>
  <c r="I2" i="10"/>
  <c r="H2" i="10"/>
  <c r="G2" i="10"/>
  <c r="F2" i="10"/>
  <c r="E2" i="10"/>
  <c r="D2" i="10"/>
  <c r="C2" i="10"/>
  <c r="E14" i="9"/>
  <c r="E12" i="9"/>
  <c r="D5" i="4"/>
  <c r="D4" i="4"/>
  <c r="E12" i="3"/>
  <c r="D8" i="6" s="1"/>
  <c r="E11" i="3"/>
  <c r="D7" i="6" s="1"/>
  <c r="AC9" i="3"/>
  <c r="AB9" i="3"/>
  <c r="AA9" i="3"/>
  <c r="Z9" i="3"/>
  <c r="Y9" i="3"/>
  <c r="X9" i="3"/>
  <c r="W9" i="3"/>
  <c r="V9" i="3"/>
  <c r="U9" i="3"/>
  <c r="T9" i="3"/>
  <c r="S9" i="3"/>
  <c r="R9" i="3"/>
  <c r="Q9" i="3"/>
  <c r="P9" i="3"/>
  <c r="O9" i="3"/>
  <c r="N9" i="3"/>
  <c r="M9" i="3"/>
  <c r="L9" i="3"/>
  <c r="K9" i="3"/>
  <c r="J9" i="3"/>
  <c r="I9" i="3"/>
  <c r="H9" i="3"/>
  <c r="G9" i="3"/>
  <c r="F9" i="3"/>
  <c r="E9" i="3"/>
  <c r="E4" i="3"/>
  <c r="E10" i="3" s="1"/>
  <c r="E3" i="3"/>
  <c r="F5" i="3" s="1"/>
  <c r="P11" i="3" s="1"/>
  <c r="O7" i="6" s="1"/>
  <c r="J76" i="14" l="1"/>
  <c r="K76" i="14" s="1"/>
  <c r="G64" i="14"/>
  <c r="H64" i="14"/>
  <c r="I64" i="14"/>
  <c r="L130" i="14"/>
  <c r="K11" i="14"/>
  <c r="K116" i="14" s="1"/>
  <c r="O11" i="14"/>
  <c r="O116" i="14" s="1"/>
  <c r="Q11" i="3"/>
  <c r="P7" i="6" s="1"/>
  <c r="R11" i="3"/>
  <c r="Q7" i="6" s="1"/>
  <c r="S11" i="3"/>
  <c r="R7" i="6" s="1"/>
  <c r="G11" i="3"/>
  <c r="F7" i="6" s="1"/>
  <c r="H11" i="3"/>
  <c r="G7" i="6" s="1"/>
  <c r="N11" i="3"/>
  <c r="M7" i="6" s="1"/>
  <c r="F3" i="3"/>
  <c r="J11" i="3"/>
  <c r="I7" i="6" s="1"/>
  <c r="C4" i="10"/>
  <c r="F11" i="3"/>
  <c r="E7" i="6" s="1"/>
  <c r="V11" i="3"/>
  <c r="U7" i="6" s="1"/>
  <c r="G63" i="14"/>
  <c r="G12" i="14"/>
  <c r="G118" i="14" s="1"/>
  <c r="F8" i="16"/>
  <c r="N4" i="10"/>
  <c r="AC11" i="3"/>
  <c r="AB7" i="6" s="1"/>
  <c r="I11" i="3"/>
  <c r="H7" i="6" s="1"/>
  <c r="X11" i="3"/>
  <c r="W7" i="6" s="1"/>
  <c r="G11" i="14"/>
  <c r="G116" i="14" s="1"/>
  <c r="U11" i="3"/>
  <c r="T7" i="6" s="1"/>
  <c r="N63" i="14"/>
  <c r="F63" i="14"/>
  <c r="N11" i="14"/>
  <c r="F11" i="14"/>
  <c r="F116" i="14" s="1"/>
  <c r="M63" i="14"/>
  <c r="E63" i="14"/>
  <c r="M11" i="14"/>
  <c r="E11" i="14"/>
  <c r="E116" i="14" s="1"/>
  <c r="L63" i="14"/>
  <c r="L11" i="14"/>
  <c r="H63" i="14"/>
  <c r="K11" i="3"/>
  <c r="J7" i="6" s="1"/>
  <c r="Y11" i="3"/>
  <c r="X7" i="6" s="1"/>
  <c r="H11" i="14"/>
  <c r="H116" i="14" s="1"/>
  <c r="K63" i="14"/>
  <c r="M11" i="3"/>
  <c r="L7" i="6" s="1"/>
  <c r="E4" i="10"/>
  <c r="I63" i="14"/>
  <c r="I11" i="14"/>
  <c r="I116" i="14" s="1"/>
  <c r="O63" i="14"/>
  <c r="AD75" i="14"/>
  <c r="F4" i="3"/>
  <c r="W11" i="3"/>
  <c r="V7" i="6" s="1"/>
  <c r="O11" i="3"/>
  <c r="N7" i="6" s="1"/>
  <c r="Z11" i="3"/>
  <c r="Y7" i="6" s="1"/>
  <c r="F6" i="3"/>
  <c r="AB12" i="3" s="1"/>
  <c r="AA8" i="6" s="1"/>
  <c r="L11" i="3"/>
  <c r="K7" i="6" s="1"/>
  <c r="T11" i="3"/>
  <c r="S7" i="6" s="1"/>
  <c r="AB11" i="3"/>
  <c r="AA7" i="6" s="1"/>
  <c r="AA11" i="3"/>
  <c r="Z7" i="6" s="1"/>
  <c r="F64" i="14"/>
  <c r="F12" i="14"/>
  <c r="F118" i="14" s="1"/>
  <c r="E64" i="14"/>
  <c r="E12" i="14"/>
  <c r="E118" i="14" s="1"/>
  <c r="J11" i="14"/>
  <c r="I12" i="14"/>
  <c r="I118" i="14" s="1"/>
  <c r="C5" i="10"/>
  <c r="D4" i="10" l="1"/>
  <c r="C8" i="10"/>
  <c r="E8" i="7"/>
  <c r="F7" i="9" s="1"/>
  <c r="G7" i="9" s="1"/>
  <c r="E14" i="14"/>
  <c r="E16" i="14" s="1"/>
  <c r="C6" i="10"/>
  <c r="E13" i="14"/>
  <c r="E19" i="14" s="1"/>
  <c r="E7" i="7"/>
  <c r="F7" i="7" s="1"/>
  <c r="T4" i="10"/>
  <c r="L4" i="10"/>
  <c r="O4" i="10"/>
  <c r="H4" i="10"/>
  <c r="AC12" i="3"/>
  <c r="AB8" i="6" s="1"/>
  <c r="M130" i="14"/>
  <c r="N130" i="14" s="1"/>
  <c r="L12" i="3"/>
  <c r="K8" i="6" s="1"/>
  <c r="P4" i="10"/>
  <c r="F4" i="10"/>
  <c r="H13" i="14"/>
  <c r="Q4" i="10"/>
  <c r="I4" i="10"/>
  <c r="M4" i="10"/>
  <c r="M116" i="14"/>
  <c r="O12" i="3"/>
  <c r="N8" i="6" s="1"/>
  <c r="Q12" i="3"/>
  <c r="P8" i="6" s="1"/>
  <c r="F12" i="3"/>
  <c r="E8" i="6" s="1"/>
  <c r="N12" i="3"/>
  <c r="M8" i="6" s="1"/>
  <c r="V12" i="3"/>
  <c r="U8" i="6" s="1"/>
  <c r="X12" i="3"/>
  <c r="W8" i="6" s="1"/>
  <c r="H12" i="3"/>
  <c r="G8" i="6" s="1"/>
  <c r="R12" i="3"/>
  <c r="Q8" i="6" s="1"/>
  <c r="P12" i="3"/>
  <c r="O8" i="6" s="1"/>
  <c r="W12" i="3"/>
  <c r="V8" i="6" s="1"/>
  <c r="G12" i="3"/>
  <c r="F8" i="6" s="1"/>
  <c r="K4" i="10"/>
  <c r="R4" i="10"/>
  <c r="T12" i="3"/>
  <c r="S8" i="6" s="1"/>
  <c r="K12" i="3"/>
  <c r="J8" i="6" s="1"/>
  <c r="N116" i="14"/>
  <c r="I12" i="3"/>
  <c r="H8" i="6" s="1"/>
  <c r="AA4" i="10"/>
  <c r="J5" i="10"/>
  <c r="AB10" i="3"/>
  <c r="Z4" i="10"/>
  <c r="AA12" i="3"/>
  <c r="Z8" i="6" s="1"/>
  <c r="F5" i="9"/>
  <c r="G5" i="9" s="1"/>
  <c r="J12" i="3"/>
  <c r="I8" i="6" s="1"/>
  <c r="L116" i="14"/>
  <c r="S4" i="10"/>
  <c r="V4" i="10"/>
  <c r="G4" i="10"/>
  <c r="Y4" i="10"/>
  <c r="X4" i="10"/>
  <c r="L76" i="14"/>
  <c r="Z5" i="10"/>
  <c r="M12" i="3"/>
  <c r="L8" i="6" s="1"/>
  <c r="J116" i="14"/>
  <c r="U4" i="10"/>
  <c r="Z12" i="3"/>
  <c r="Y8" i="6" s="1"/>
  <c r="J4" i="10"/>
  <c r="Y12" i="3"/>
  <c r="X8" i="6" s="1"/>
  <c r="S12" i="3"/>
  <c r="R8" i="6" s="1"/>
  <c r="W4" i="10"/>
  <c r="U12" i="3"/>
  <c r="T8" i="6" s="1"/>
  <c r="F8" i="7" l="1"/>
  <c r="L10" i="3"/>
  <c r="E65" i="14"/>
  <c r="E72" i="14" s="1"/>
  <c r="E179" i="14"/>
  <c r="E119" i="14"/>
  <c r="E124" i="14" s="1"/>
  <c r="E178" i="14"/>
  <c r="E15" i="14"/>
  <c r="E173" i="14" s="1"/>
  <c r="K10" i="3"/>
  <c r="M10" i="3"/>
  <c r="D5" i="9"/>
  <c r="E5" i="9" s="1"/>
  <c r="E120" i="14"/>
  <c r="E183" i="14" s="1"/>
  <c r="Z10" i="3"/>
  <c r="E20" i="14"/>
  <c r="E23" i="14" s="1"/>
  <c r="D7" i="9"/>
  <c r="E7" i="9" s="1"/>
  <c r="E66" i="14"/>
  <c r="E181" i="14" s="1"/>
  <c r="C12" i="10"/>
  <c r="C13" i="10" s="1"/>
  <c r="C10" i="10"/>
  <c r="C7" i="10"/>
  <c r="X10" i="3"/>
  <c r="C11" i="10"/>
  <c r="C14" i="10"/>
  <c r="C15" i="10" s="1"/>
  <c r="C9" i="10"/>
  <c r="F6" i="10"/>
  <c r="F7" i="10" s="1"/>
  <c r="Q6" i="10"/>
  <c r="S13" i="14"/>
  <c r="W5" i="10"/>
  <c r="M5" i="10"/>
  <c r="Y5" i="10"/>
  <c r="N13" i="14"/>
  <c r="L6" i="10"/>
  <c r="F13" i="14"/>
  <c r="D6" i="10"/>
  <c r="K5" i="10"/>
  <c r="V5" i="10"/>
  <c r="Q5" i="10"/>
  <c r="S10" i="3"/>
  <c r="U5" i="10"/>
  <c r="S5" i="10"/>
  <c r="AA5" i="10"/>
  <c r="N5" i="10"/>
  <c r="P10" i="3"/>
  <c r="F5" i="10"/>
  <c r="H10" i="3"/>
  <c r="X5" i="10"/>
  <c r="M76" i="14"/>
  <c r="H5" i="10"/>
  <c r="J10" i="3"/>
  <c r="F173" i="14"/>
  <c r="L14" i="14"/>
  <c r="J8" i="10"/>
  <c r="AC10" i="3"/>
  <c r="T5" i="10"/>
  <c r="V10" i="3"/>
  <c r="H178" i="14"/>
  <c r="H119" i="14"/>
  <c r="H65" i="14"/>
  <c r="H15" i="14"/>
  <c r="AB14" i="14"/>
  <c r="Z8" i="10"/>
  <c r="H6" i="10"/>
  <c r="J13" i="14"/>
  <c r="U10" i="3"/>
  <c r="O10" i="3"/>
  <c r="Y10" i="3"/>
  <c r="P13" i="14"/>
  <c r="N6" i="10"/>
  <c r="R5" i="10"/>
  <c r="T10" i="3"/>
  <c r="L5" i="10"/>
  <c r="N10" i="3"/>
  <c r="Q13" i="14"/>
  <c r="O6" i="10"/>
  <c r="O5" i="10"/>
  <c r="Q10" i="3"/>
  <c r="G5" i="10"/>
  <c r="P5" i="10"/>
  <c r="R10" i="3"/>
  <c r="I10" i="3"/>
  <c r="F174" i="14"/>
  <c r="V13" i="14"/>
  <c r="T6" i="10"/>
  <c r="W10" i="3"/>
  <c r="AA10" i="3"/>
  <c r="E174" i="14"/>
  <c r="E191" i="14" s="1"/>
  <c r="E185" i="14"/>
  <c r="R6" i="14"/>
  <c r="O130" i="14"/>
  <c r="G13" i="14"/>
  <c r="E6" i="10"/>
  <c r="I5" i="10"/>
  <c r="E5" i="10"/>
  <c r="G10" i="3"/>
  <c r="D5" i="10"/>
  <c r="F10" i="3"/>
  <c r="E180" i="14" l="1"/>
  <c r="E212" i="14" s="1"/>
  <c r="E68" i="14"/>
  <c r="E192" i="14" s="1"/>
  <c r="E198" i="14" s="1"/>
  <c r="E121" i="14"/>
  <c r="G173" i="14"/>
  <c r="E182" i="14"/>
  <c r="E131" i="14"/>
  <c r="E122" i="14"/>
  <c r="E211" i="14"/>
  <c r="E214" i="14"/>
  <c r="G174" i="14"/>
  <c r="E197" i="14" s="1"/>
  <c r="E184" i="14"/>
  <c r="E190" i="14" s="1"/>
  <c r="R5" i="14"/>
  <c r="H17" i="14" s="1"/>
  <c r="H19" i="14" s="1"/>
  <c r="E73" i="14"/>
  <c r="E77" i="14" s="1"/>
  <c r="E69" i="14"/>
  <c r="E187" i="14" s="1"/>
  <c r="E125" i="14"/>
  <c r="E189" i="14" s="1"/>
  <c r="D6" i="9"/>
  <c r="R13" i="14"/>
  <c r="P6" i="10"/>
  <c r="E132" i="14"/>
  <c r="F12" i="10"/>
  <c r="F13" i="10" s="1"/>
  <c r="F10" i="10"/>
  <c r="S65" i="14"/>
  <c r="S178" i="14"/>
  <c r="S119" i="14"/>
  <c r="Q12" i="10"/>
  <c r="Q13" i="10" s="1"/>
  <c r="Q10" i="10"/>
  <c r="Q7" i="10"/>
  <c r="H7" i="10"/>
  <c r="H10" i="10"/>
  <c r="H12" i="10"/>
  <c r="H13" i="10" s="1"/>
  <c r="W8" i="10"/>
  <c r="Y14" i="14"/>
  <c r="G65" i="14"/>
  <c r="G119" i="14"/>
  <c r="G178" i="14"/>
  <c r="G15" i="14"/>
  <c r="H180" i="14"/>
  <c r="H68" i="14"/>
  <c r="E194" i="14"/>
  <c r="E200" i="14" s="1"/>
  <c r="E188" i="14"/>
  <c r="Z6" i="10"/>
  <c r="AB13" i="14"/>
  <c r="W14" i="14"/>
  <c r="U8" i="10"/>
  <c r="M8" i="10"/>
  <c r="O14" i="14"/>
  <c r="O13" i="14"/>
  <c r="M6" i="10"/>
  <c r="G8" i="10"/>
  <c r="I14" i="14"/>
  <c r="R6" i="10"/>
  <c r="T13" i="14"/>
  <c r="T12" i="10"/>
  <c r="T13" i="10" s="1"/>
  <c r="T10" i="10"/>
  <c r="T7" i="10"/>
  <c r="Y6" i="10"/>
  <c r="AA13" i="14"/>
  <c r="J178" i="14"/>
  <c r="J119" i="14"/>
  <c r="G4" i="16" s="1"/>
  <c r="J65" i="14"/>
  <c r="J15" i="14"/>
  <c r="I6" i="10"/>
  <c r="K13" i="14"/>
  <c r="L179" i="14"/>
  <c r="L66" i="14"/>
  <c r="L120" i="14"/>
  <c r="N76" i="14"/>
  <c r="X8" i="10"/>
  <c r="Z14" i="14"/>
  <c r="M14" i="14"/>
  <c r="K8" i="10"/>
  <c r="E213" i="14"/>
  <c r="E216" i="14"/>
  <c r="W13" i="14"/>
  <c r="U6" i="10"/>
  <c r="Z14" i="10"/>
  <c r="Z15" i="10" s="1"/>
  <c r="Z11" i="10"/>
  <c r="Z9" i="10"/>
  <c r="D12" i="10"/>
  <c r="D13" i="10" s="1"/>
  <c r="D10" i="10"/>
  <c r="D7" i="10"/>
  <c r="J6" i="10"/>
  <c r="L13" i="14"/>
  <c r="V6" i="10"/>
  <c r="X13" i="14"/>
  <c r="V8" i="10"/>
  <c r="X14" i="14"/>
  <c r="I13" i="14"/>
  <c r="G6" i="10"/>
  <c r="F15" i="14"/>
  <c r="F119" i="14"/>
  <c r="F178" i="14"/>
  <c r="F65" i="14"/>
  <c r="Y13" i="14"/>
  <c r="W6" i="10"/>
  <c r="I8" i="10"/>
  <c r="K14" i="14"/>
  <c r="P130" i="14"/>
  <c r="U13" i="14"/>
  <c r="S6" i="10"/>
  <c r="O7" i="10"/>
  <c r="O12" i="10"/>
  <c r="O13" i="10" s="1"/>
  <c r="O10" i="10"/>
  <c r="T14" i="14"/>
  <c r="R8" i="10"/>
  <c r="E186" i="14"/>
  <c r="Q57" i="14"/>
  <c r="M13" i="14"/>
  <c r="K6" i="10"/>
  <c r="E12" i="10"/>
  <c r="E13" i="10" s="1"/>
  <c r="E7" i="10"/>
  <c r="E10" i="10"/>
  <c r="P178" i="14"/>
  <c r="P119" i="14"/>
  <c r="P65" i="14"/>
  <c r="H5" i="14"/>
  <c r="L12" i="10"/>
  <c r="L13" i="10" s="1"/>
  <c r="L10" i="10"/>
  <c r="L7" i="10"/>
  <c r="U14" i="14"/>
  <c r="S8" i="10"/>
  <c r="AC13" i="14"/>
  <c r="AA6" i="10"/>
  <c r="H182" i="14"/>
  <c r="H124" i="14"/>
  <c r="H121" i="14"/>
  <c r="E24" i="14"/>
  <c r="N15" i="14"/>
  <c r="N178" i="14"/>
  <c r="N65" i="14"/>
  <c r="N119" i="14"/>
  <c r="AB66" i="14"/>
  <c r="AB120" i="14"/>
  <c r="AB179" i="14"/>
  <c r="J14" i="10"/>
  <c r="J15" i="10" s="1"/>
  <c r="J11" i="10"/>
  <c r="J9" i="10"/>
  <c r="V119" i="14"/>
  <c r="V65" i="14"/>
  <c r="V178" i="14"/>
  <c r="X6" i="10"/>
  <c r="Z13" i="14"/>
  <c r="Q178" i="14"/>
  <c r="Q119" i="14"/>
  <c r="Q65" i="14"/>
  <c r="N12" i="10"/>
  <c r="N13" i="10" s="1"/>
  <c r="N10" i="10"/>
  <c r="N7" i="10"/>
  <c r="H184" i="14"/>
  <c r="H190" i="14"/>
  <c r="H196" i="14" s="1"/>
  <c r="AC14" i="14"/>
  <c r="AA8" i="10"/>
  <c r="AA14" i="14"/>
  <c r="Y8" i="10"/>
  <c r="E215" i="14" l="1"/>
  <c r="E196" i="14"/>
  <c r="E123" i="14"/>
  <c r="D13" i="9"/>
  <c r="E135" i="14"/>
  <c r="E195" i="14"/>
  <c r="E201" i="14" s="1"/>
  <c r="E204" i="14" s="1"/>
  <c r="Q58" i="14"/>
  <c r="E193" i="14"/>
  <c r="E199" i="14" s="1"/>
  <c r="E203" i="14" s="1"/>
  <c r="R65" i="14"/>
  <c r="R178" i="14"/>
  <c r="R119" i="14"/>
  <c r="P7" i="10"/>
  <c r="P10" i="10"/>
  <c r="P12" i="10"/>
  <c r="P13" i="10" s="1"/>
  <c r="E202" i="14"/>
  <c r="E205" i="14" s="1"/>
  <c r="S182" i="14"/>
  <c r="S121" i="14"/>
  <c r="Z178" i="14"/>
  <c r="Z119" i="14"/>
  <c r="Z65" i="14"/>
  <c r="N124" i="14"/>
  <c r="N182" i="14"/>
  <c r="N121" i="14"/>
  <c r="K12" i="10"/>
  <c r="K13" i="10" s="1"/>
  <c r="K10" i="10"/>
  <c r="K7" i="10"/>
  <c r="K178" i="14"/>
  <c r="K65" i="14"/>
  <c r="K15" i="14"/>
  <c r="K119" i="14"/>
  <c r="Y14" i="10"/>
  <c r="Y15" i="10" s="1"/>
  <c r="Y11" i="10"/>
  <c r="Y9" i="10"/>
  <c r="V9" i="10"/>
  <c r="V14" i="10"/>
  <c r="V15" i="10" s="1"/>
  <c r="V11" i="10"/>
  <c r="AC178" i="14"/>
  <c r="AC119" i="14"/>
  <c r="AC65" i="14"/>
  <c r="I7" i="10"/>
  <c r="I10" i="10"/>
  <c r="I12" i="10"/>
  <c r="I13" i="10" s="1"/>
  <c r="G14" i="14"/>
  <c r="E8" i="10"/>
  <c r="I178" i="14"/>
  <c r="I119" i="14"/>
  <c r="I65" i="14"/>
  <c r="I15" i="14"/>
  <c r="G190" i="14"/>
  <c r="G196" i="14" s="1"/>
  <c r="G184" i="14"/>
  <c r="G17" i="14"/>
  <c r="G19" i="14" s="1"/>
  <c r="F14" i="14"/>
  <c r="D8" i="10"/>
  <c r="F180" i="14"/>
  <c r="F68" i="14"/>
  <c r="U7" i="10"/>
  <c r="U10" i="10"/>
  <c r="U12" i="10"/>
  <c r="U13" i="10" s="1"/>
  <c r="Z179" i="14"/>
  <c r="Z120" i="14"/>
  <c r="Z66" i="14"/>
  <c r="D4" i="16"/>
  <c r="J182" i="14"/>
  <c r="J124" i="14"/>
  <c r="J121" i="14"/>
  <c r="U179" i="14"/>
  <c r="U66" i="14"/>
  <c r="U120" i="14"/>
  <c r="F190" i="14"/>
  <c r="F196" i="14" s="1"/>
  <c r="F184" i="14"/>
  <c r="F17" i="14"/>
  <c r="F19" i="14" s="1"/>
  <c r="J190" i="14"/>
  <c r="J184" i="14"/>
  <c r="J17" i="14"/>
  <c r="P8" i="10"/>
  <c r="R14" i="14"/>
  <c r="E78" i="14"/>
  <c r="I14" i="10"/>
  <c r="I15" i="10" s="1"/>
  <c r="I11" i="10"/>
  <c r="I9" i="10"/>
  <c r="AA179" i="14"/>
  <c r="AA66" i="14"/>
  <c r="AA120" i="14"/>
  <c r="W9" i="10"/>
  <c r="W11" i="10"/>
  <c r="W14" i="10"/>
  <c r="W15" i="10" s="1"/>
  <c r="X178" i="14"/>
  <c r="X119" i="14"/>
  <c r="X65" i="14"/>
  <c r="Q182" i="14"/>
  <c r="Q121" i="14"/>
  <c r="H188" i="14"/>
  <c r="H126" i="14"/>
  <c r="H131" i="14" s="1"/>
  <c r="H194" i="14"/>
  <c r="H200" i="14" s="1"/>
  <c r="E136" i="14"/>
  <c r="Q130" i="14"/>
  <c r="V12" i="10"/>
  <c r="V13" i="10" s="1"/>
  <c r="V10" i="10"/>
  <c r="V7" i="10"/>
  <c r="L15" i="14"/>
  <c r="L178" i="14"/>
  <c r="L119" i="14"/>
  <c r="L65" i="14"/>
  <c r="W65" i="14"/>
  <c r="W119" i="14"/>
  <c r="W178" i="14"/>
  <c r="O8" i="10"/>
  <c r="Q14" i="14"/>
  <c r="U9" i="10"/>
  <c r="U14" i="10"/>
  <c r="U15" i="10" s="1"/>
  <c r="U11" i="10"/>
  <c r="Z12" i="10"/>
  <c r="Z13" i="10" s="1"/>
  <c r="Z10" i="10"/>
  <c r="Z7" i="10"/>
  <c r="U178" i="14"/>
  <c r="U119" i="14"/>
  <c r="U65" i="14"/>
  <c r="H8" i="10"/>
  <c r="J14" i="14"/>
  <c r="O119" i="14"/>
  <c r="O178" i="14"/>
  <c r="O65" i="14"/>
  <c r="O15" i="14"/>
  <c r="M9" i="10"/>
  <c r="M11" i="10"/>
  <c r="M14" i="10"/>
  <c r="M15" i="10" s="1"/>
  <c r="O76" i="14"/>
  <c r="T178" i="14"/>
  <c r="T119" i="14"/>
  <c r="T65" i="14"/>
  <c r="AB122" i="14"/>
  <c r="AB183" i="14"/>
  <c r="V14" i="14"/>
  <c r="T8" i="10"/>
  <c r="R12" i="10"/>
  <c r="R13" i="10" s="1"/>
  <c r="R10" i="10"/>
  <c r="R7" i="10"/>
  <c r="AB119" i="14"/>
  <c r="AB178" i="14"/>
  <c r="AB65" i="14"/>
  <c r="AA11" i="10"/>
  <c r="AA9" i="10"/>
  <c r="AA14" i="10"/>
  <c r="AA15" i="10" s="1"/>
  <c r="AC120" i="14"/>
  <c r="AC66" i="14"/>
  <c r="AC179" i="14"/>
  <c r="V182" i="14"/>
  <c r="V121" i="14"/>
  <c r="S11" i="10"/>
  <c r="S9" i="10"/>
  <c r="S14" i="10"/>
  <c r="S15" i="10" s="1"/>
  <c r="T179" i="14"/>
  <c r="T120" i="14"/>
  <c r="T66" i="14"/>
  <c r="S12" i="10"/>
  <c r="S13" i="10" s="1"/>
  <c r="S10" i="10"/>
  <c r="S7" i="10"/>
  <c r="W7" i="10"/>
  <c r="W10" i="10"/>
  <c r="W12" i="10"/>
  <c r="W13" i="10" s="1"/>
  <c r="J12" i="10"/>
  <c r="J13" i="10" s="1"/>
  <c r="J10" i="10"/>
  <c r="J7" i="10"/>
  <c r="X14" i="10"/>
  <c r="X15" i="10" s="1"/>
  <c r="X11" i="10"/>
  <c r="X9" i="10"/>
  <c r="N14" i="14"/>
  <c r="L8" i="10"/>
  <c r="I179" i="14"/>
  <c r="I120" i="14"/>
  <c r="I66" i="14"/>
  <c r="I16" i="14"/>
  <c r="I18" i="14" s="1"/>
  <c r="I20" i="14" s="1"/>
  <c r="O179" i="14"/>
  <c r="O120" i="14"/>
  <c r="O66" i="14"/>
  <c r="W179" i="14"/>
  <c r="W120" i="14"/>
  <c r="W66" i="14"/>
  <c r="H192" i="14"/>
  <c r="H198" i="14" s="1"/>
  <c r="H70" i="14"/>
  <c r="H72" i="14" s="1"/>
  <c r="H186" i="14"/>
  <c r="G121" i="14"/>
  <c r="G182" i="14"/>
  <c r="G124" i="14"/>
  <c r="AA12" i="10"/>
  <c r="AA13" i="10" s="1"/>
  <c r="AA10" i="10"/>
  <c r="AA7" i="10"/>
  <c r="Y179" i="14"/>
  <c r="Y120" i="14"/>
  <c r="Y66" i="14"/>
  <c r="X7" i="10"/>
  <c r="X10" i="10"/>
  <c r="X12" i="10"/>
  <c r="X13" i="10" s="1"/>
  <c r="G7" i="10"/>
  <c r="G12" i="10"/>
  <c r="G13" i="10" s="1"/>
  <c r="G10" i="10"/>
  <c r="M120" i="14"/>
  <c r="M66" i="14"/>
  <c r="M179" i="14"/>
  <c r="M178" i="14"/>
  <c r="M15" i="14"/>
  <c r="M65" i="14"/>
  <c r="M119" i="14"/>
  <c r="Y7" i="10"/>
  <c r="Y12" i="10"/>
  <c r="Y13" i="10" s="1"/>
  <c r="Y10" i="10"/>
  <c r="S14" i="14"/>
  <c r="Q8" i="10"/>
  <c r="N8" i="10"/>
  <c r="P14" i="14"/>
  <c r="N190" i="14"/>
  <c r="N184" i="14"/>
  <c r="N17" i="14"/>
  <c r="P182" i="14"/>
  <c r="P121" i="14"/>
  <c r="R14" i="10"/>
  <c r="R15" i="10" s="1"/>
  <c r="R11" i="10"/>
  <c r="R9" i="10"/>
  <c r="V11" i="14"/>
  <c r="AC11" i="14"/>
  <c r="AC116" i="14" s="1"/>
  <c r="U11" i="14"/>
  <c r="U15" i="14" s="1"/>
  <c r="AB11" i="14"/>
  <c r="AB116" i="14" s="1"/>
  <c r="T11" i="14"/>
  <c r="T15" i="14" s="1"/>
  <c r="X11" i="14"/>
  <c r="X15" i="14" s="1"/>
  <c r="Q11" i="14"/>
  <c r="P11" i="14"/>
  <c r="O21" i="14" s="1"/>
  <c r="Z11" i="14"/>
  <c r="Z116" i="14" s="1"/>
  <c r="Y11" i="14"/>
  <c r="Y116" i="14" s="1"/>
  <c r="W11" i="14"/>
  <c r="S11" i="14"/>
  <c r="AA11" i="14"/>
  <c r="AA116" i="14" s="1"/>
  <c r="R11" i="14"/>
  <c r="F8" i="10"/>
  <c r="H14" i="14"/>
  <c r="K179" i="14"/>
  <c r="K120" i="14"/>
  <c r="K66" i="14"/>
  <c r="Y178" i="14"/>
  <c r="Y119" i="14"/>
  <c r="Y65" i="14"/>
  <c r="F124" i="14"/>
  <c r="F121" i="14"/>
  <c r="F182" i="14"/>
  <c r="X179" i="14"/>
  <c r="X120" i="14"/>
  <c r="X66" i="14"/>
  <c r="K11" i="10"/>
  <c r="K9" i="10"/>
  <c r="K14" i="10"/>
  <c r="K15" i="10" s="1"/>
  <c r="L183" i="14"/>
  <c r="L122" i="14"/>
  <c r="AA178" i="14"/>
  <c r="AA119" i="14"/>
  <c r="AA65" i="14"/>
  <c r="G9" i="10"/>
  <c r="G11" i="10"/>
  <c r="G14" i="10"/>
  <c r="G15" i="10" s="1"/>
  <c r="M7" i="10"/>
  <c r="M12" i="10"/>
  <c r="M13" i="10" s="1"/>
  <c r="M10" i="10"/>
  <c r="G180" i="14"/>
  <c r="G68" i="14"/>
  <c r="R182" i="14" l="1"/>
  <c r="R121" i="14"/>
  <c r="E208" i="14"/>
  <c r="E217" i="14" s="1"/>
  <c r="Y15" i="14"/>
  <c r="Y184" i="14" s="1"/>
  <c r="U190" i="14"/>
  <c r="U184" i="14"/>
  <c r="X184" i="14"/>
  <c r="X190" i="14"/>
  <c r="T190" i="14"/>
  <c r="T184" i="14"/>
  <c r="I185" i="14"/>
  <c r="I191" i="14"/>
  <c r="I197" i="14" s="1"/>
  <c r="U182" i="14"/>
  <c r="U121" i="14"/>
  <c r="AA15" i="14"/>
  <c r="I181" i="14"/>
  <c r="I69" i="14"/>
  <c r="J179" i="14"/>
  <c r="J120" i="14"/>
  <c r="J66" i="14"/>
  <c r="H6" i="14"/>
  <c r="W116" i="14"/>
  <c r="W124" i="14" s="1"/>
  <c r="L11" i="10"/>
  <c r="L14" i="10"/>
  <c r="L15" i="10" s="1"/>
  <c r="L9" i="10"/>
  <c r="AB15" i="14"/>
  <c r="H14" i="10"/>
  <c r="H15" i="10" s="1"/>
  <c r="H11" i="10"/>
  <c r="H9" i="10"/>
  <c r="X211" i="14"/>
  <c r="X214" i="14"/>
  <c r="H179" i="14"/>
  <c r="H120" i="14"/>
  <c r="H66" i="14"/>
  <c r="H16" i="14"/>
  <c r="V116" i="14"/>
  <c r="V15" i="14"/>
  <c r="S179" i="14"/>
  <c r="S120" i="14"/>
  <c r="S66" i="14"/>
  <c r="M67" i="14"/>
  <c r="N120" i="14"/>
  <c r="N66" i="14"/>
  <c r="N179" i="14"/>
  <c r="T183" i="14"/>
  <c r="T122" i="14"/>
  <c r="L67" i="14"/>
  <c r="U122" i="14"/>
  <c r="U183" i="14"/>
  <c r="Z183" i="14"/>
  <c r="Z122" i="14"/>
  <c r="I182" i="14"/>
  <c r="I121" i="14"/>
  <c r="I124" i="14"/>
  <c r="K67" i="14"/>
  <c r="L190" i="14"/>
  <c r="L184" i="14"/>
  <c r="L17" i="14"/>
  <c r="Z182" i="14"/>
  <c r="Z124" i="14"/>
  <c r="Z121" i="14"/>
  <c r="K182" i="14"/>
  <c r="K124" i="14"/>
  <c r="K121" i="14"/>
  <c r="U116" i="14"/>
  <c r="M182" i="14"/>
  <c r="M124" i="14"/>
  <c r="M121" i="14"/>
  <c r="E210" i="14"/>
  <c r="E207" i="14"/>
  <c r="AA211" i="14"/>
  <c r="AA214" i="14"/>
  <c r="O190" i="14"/>
  <c r="O196" i="14" s="1"/>
  <c r="O184" i="14"/>
  <c r="O17" i="14"/>
  <c r="O9" i="10"/>
  <c r="O14" i="10"/>
  <c r="O15" i="10" s="1"/>
  <c r="O11" i="10"/>
  <c r="F186" i="14"/>
  <c r="F70" i="14"/>
  <c r="F72" i="14" s="1"/>
  <c r="F192" i="14"/>
  <c r="F198" i="14" s="1"/>
  <c r="Y67" i="14"/>
  <c r="F9" i="10"/>
  <c r="F14" i="10"/>
  <c r="F15" i="10" s="1"/>
  <c r="F11" i="10"/>
  <c r="D5" i="14"/>
  <c r="P116" i="14"/>
  <c r="P15" i="14"/>
  <c r="M183" i="14"/>
  <c r="M122" i="14"/>
  <c r="Y183" i="14"/>
  <c r="Y122" i="14"/>
  <c r="G194" i="14"/>
  <c r="G200" i="14" s="1"/>
  <c r="G188" i="14"/>
  <c r="G126" i="14"/>
  <c r="G131" i="14" s="1"/>
  <c r="W183" i="14"/>
  <c r="W122" i="14"/>
  <c r="T9" i="10"/>
  <c r="T14" i="10"/>
  <c r="T15" i="10" s="1"/>
  <c r="T11" i="10"/>
  <c r="T214" i="14"/>
  <c r="T211" i="14"/>
  <c r="O67" i="14"/>
  <c r="L121" i="14"/>
  <c r="L124" i="14"/>
  <c r="L182" i="14"/>
  <c r="R179" i="14"/>
  <c r="R120" i="14"/>
  <c r="R66" i="14"/>
  <c r="D14" i="10"/>
  <c r="D15" i="10" s="1"/>
  <c r="D9" i="10"/>
  <c r="D11" i="10"/>
  <c r="I211" i="14"/>
  <c r="I214" i="14"/>
  <c r="N196" i="14"/>
  <c r="E9" i="10"/>
  <c r="E11" i="10"/>
  <c r="E14" i="10"/>
  <c r="E15" i="10" s="1"/>
  <c r="AC67" i="14"/>
  <c r="Z15" i="14"/>
  <c r="AA182" i="14"/>
  <c r="AA124" i="14"/>
  <c r="AA121" i="14"/>
  <c r="T116" i="14"/>
  <c r="AB124" i="14"/>
  <c r="AB182" i="14"/>
  <c r="AB121" i="14"/>
  <c r="AB123" i="14" s="1"/>
  <c r="T67" i="14"/>
  <c r="AC214" i="14"/>
  <c r="AC211" i="14"/>
  <c r="G186" i="14"/>
  <c r="G192" i="14"/>
  <c r="G198" i="14" s="1"/>
  <c r="G70" i="14"/>
  <c r="G72" i="14" s="1"/>
  <c r="X183" i="14"/>
  <c r="X122" i="14"/>
  <c r="W121" i="14"/>
  <c r="W182" i="14"/>
  <c r="Z211" i="14"/>
  <c r="Z214" i="14"/>
  <c r="L128" i="14"/>
  <c r="O183" i="14"/>
  <c r="O122" i="14"/>
  <c r="Q179" i="14"/>
  <c r="Q120" i="14"/>
  <c r="Q66" i="14"/>
  <c r="E4" i="16"/>
  <c r="K190" i="14"/>
  <c r="K184" i="14"/>
  <c r="K17" i="14"/>
  <c r="N9" i="10"/>
  <c r="I5" i="14" s="1"/>
  <c r="N11" i="10"/>
  <c r="N14" i="10"/>
  <c r="N15" i="10" s="1"/>
  <c r="Q14" i="10"/>
  <c r="Q15" i="10" s="1"/>
  <c r="Q11" i="10"/>
  <c r="Q9" i="10"/>
  <c r="P76" i="14"/>
  <c r="I180" i="14"/>
  <c r="I68" i="14"/>
  <c r="N194" i="14"/>
  <c r="N188" i="14"/>
  <c r="N126" i="14"/>
  <c r="Y182" i="14"/>
  <c r="Y121" i="14"/>
  <c r="Y124" i="14"/>
  <c r="Q116" i="14"/>
  <c r="Q15" i="14"/>
  <c r="N19" i="14"/>
  <c r="M190" i="14"/>
  <c r="M184" i="14"/>
  <c r="M17" i="14"/>
  <c r="AC183" i="14"/>
  <c r="AC122" i="14"/>
  <c r="AB67" i="14"/>
  <c r="O211" i="14"/>
  <c r="O214" i="14"/>
  <c r="U67" i="14"/>
  <c r="J196" i="14"/>
  <c r="W214" i="14"/>
  <c r="W211" i="14"/>
  <c r="R130" i="14"/>
  <c r="G7" i="16"/>
  <c r="H7" i="16" s="1"/>
  <c r="D7" i="16"/>
  <c r="E7" i="16" s="1"/>
  <c r="G179" i="14"/>
  <c r="G120" i="14"/>
  <c r="G66" i="14"/>
  <c r="G16" i="14"/>
  <c r="AC182" i="14"/>
  <c r="AC124" i="14"/>
  <c r="AC121" i="14"/>
  <c r="K211" i="14"/>
  <c r="K214" i="14"/>
  <c r="E206" i="14"/>
  <c r="E209" i="14"/>
  <c r="J19" i="14"/>
  <c r="S116" i="14"/>
  <c r="S15" i="14"/>
  <c r="T182" i="14"/>
  <c r="T121" i="14"/>
  <c r="U214" i="14"/>
  <c r="U211" i="14"/>
  <c r="X67" i="14"/>
  <c r="I184" i="14"/>
  <c r="I190" i="14"/>
  <c r="I196" i="14" s="1"/>
  <c r="I17" i="14"/>
  <c r="I19" i="14" s="1"/>
  <c r="P179" i="14"/>
  <c r="P120" i="14"/>
  <c r="P66" i="14"/>
  <c r="I183" i="14"/>
  <c r="I122" i="14"/>
  <c r="I125" i="14"/>
  <c r="W67" i="14"/>
  <c r="X182" i="14"/>
  <c r="X121" i="14"/>
  <c r="K183" i="14"/>
  <c r="K122" i="14"/>
  <c r="AA122" i="14"/>
  <c r="AA183" i="14"/>
  <c r="AA67" i="14"/>
  <c r="F194" i="14"/>
  <c r="F200" i="14" s="1"/>
  <c r="F188" i="14"/>
  <c r="F126" i="14"/>
  <c r="F131" i="14" s="1"/>
  <c r="Y211" i="14"/>
  <c r="Y214" i="14"/>
  <c r="R116" i="14"/>
  <c r="R15" i="14"/>
  <c r="X116" i="14"/>
  <c r="M214" i="14"/>
  <c r="M211" i="14"/>
  <c r="AB214" i="14"/>
  <c r="AB211" i="14"/>
  <c r="V179" i="14"/>
  <c r="V66" i="14"/>
  <c r="V120" i="14"/>
  <c r="O121" i="14"/>
  <c r="O182" i="14"/>
  <c r="O124" i="14"/>
  <c r="W15" i="14"/>
  <c r="L214" i="14"/>
  <c r="L211" i="14"/>
  <c r="P14" i="10"/>
  <c r="P15" i="10" s="1"/>
  <c r="P9" i="10"/>
  <c r="P11" i="10"/>
  <c r="J194" i="14"/>
  <c r="J126" i="14"/>
  <c r="J188" i="14"/>
  <c r="F16" i="14"/>
  <c r="F179" i="14"/>
  <c r="F66" i="14"/>
  <c r="F120" i="14"/>
  <c r="AC15" i="14"/>
  <c r="Z67" i="14"/>
  <c r="Y123" i="14" l="1"/>
  <c r="Y190" i="14"/>
  <c r="Y196" i="14" s="1"/>
  <c r="U196" i="14"/>
  <c r="I123" i="14"/>
  <c r="D5" i="16"/>
  <c r="M196" i="14"/>
  <c r="AA123" i="14"/>
  <c r="AC123" i="14"/>
  <c r="X124" i="14"/>
  <c r="X188" i="14" s="1"/>
  <c r="U124" i="14"/>
  <c r="U194" i="14" s="1"/>
  <c r="I202" i="14"/>
  <c r="I208" i="14" s="1"/>
  <c r="I217" i="14" s="1"/>
  <c r="T124" i="14"/>
  <c r="T188" i="14" s="1"/>
  <c r="E5" i="16"/>
  <c r="F181" i="14"/>
  <c r="F69" i="14"/>
  <c r="AC194" i="14"/>
  <c r="AC188" i="14"/>
  <c r="G211" i="14"/>
  <c r="G214" i="14"/>
  <c r="S130" i="14"/>
  <c r="O180" i="14"/>
  <c r="O68" i="14"/>
  <c r="P19" i="14"/>
  <c r="K123" i="14"/>
  <c r="S211" i="14"/>
  <c r="S214" i="14"/>
  <c r="AB190" i="14"/>
  <c r="AB196" i="14" s="1"/>
  <c r="AB184" i="14"/>
  <c r="X123" i="14"/>
  <c r="AC213" i="14"/>
  <c r="AC216" i="14"/>
  <c r="I212" i="14"/>
  <c r="I215" i="14"/>
  <c r="O128" i="14"/>
  <c r="Z213" i="14"/>
  <c r="Z216" i="14"/>
  <c r="V190" i="14"/>
  <c r="V184" i="14"/>
  <c r="Q124" i="14"/>
  <c r="T180" i="14"/>
  <c r="L126" i="14"/>
  <c r="L194" i="14"/>
  <c r="L188" i="14"/>
  <c r="L68" i="14"/>
  <c r="L180" i="14"/>
  <c r="O194" i="14"/>
  <c r="O188" i="14"/>
  <c r="O126" i="14"/>
  <c r="L123" i="14"/>
  <c r="M194" i="14"/>
  <c r="M188" i="14"/>
  <c r="M126" i="14"/>
  <c r="V124" i="14"/>
  <c r="O213" i="14"/>
  <c r="O216" i="14"/>
  <c r="X216" i="14"/>
  <c r="X213" i="14"/>
  <c r="T123" i="14"/>
  <c r="S184" i="14"/>
  <c r="S190" i="14"/>
  <c r="G185" i="14"/>
  <c r="G191" i="14"/>
  <c r="G197" i="14" s="1"/>
  <c r="G202" i="14" s="1"/>
  <c r="G18" i="14"/>
  <c r="G20" i="14" s="1"/>
  <c r="G23" i="14" s="1"/>
  <c r="M19" i="14"/>
  <c r="Y216" i="14"/>
  <c r="Y213" i="14"/>
  <c r="Q76" i="14"/>
  <c r="Q183" i="14"/>
  <c r="Q122" i="14"/>
  <c r="AB213" i="14"/>
  <c r="AB216" i="14"/>
  <c r="M213" i="14"/>
  <c r="M216" i="14"/>
  <c r="K213" i="14"/>
  <c r="K216" i="14"/>
  <c r="H185" i="14"/>
  <c r="H18" i="14"/>
  <c r="H20" i="14" s="1"/>
  <c r="H23" i="14" s="1"/>
  <c r="H191" i="14"/>
  <c r="H197" i="14" s="1"/>
  <c r="H202" i="14" s="1"/>
  <c r="R184" i="14"/>
  <c r="R190" i="14"/>
  <c r="G8" i="16"/>
  <c r="M128" i="14"/>
  <c r="H214" i="14"/>
  <c r="H211" i="14"/>
  <c r="AA184" i="14"/>
  <c r="AA190" i="14"/>
  <c r="AA196" i="14" s="1"/>
  <c r="V67" i="14"/>
  <c r="R124" i="14"/>
  <c r="X180" i="14"/>
  <c r="Q184" i="14"/>
  <c r="Q190" i="14"/>
  <c r="W194" i="14"/>
  <c r="W188" i="14"/>
  <c r="L213" i="14"/>
  <c r="L216" i="14"/>
  <c r="Y180" i="14"/>
  <c r="E219" i="14"/>
  <c r="J214" i="14"/>
  <c r="J211" i="14"/>
  <c r="E218" i="14"/>
  <c r="K180" i="14"/>
  <c r="K68" i="14"/>
  <c r="N67" i="14"/>
  <c r="Z180" i="14"/>
  <c r="V211" i="14"/>
  <c r="V214" i="14"/>
  <c r="Q67" i="14"/>
  <c r="W213" i="14"/>
  <c r="W216" i="14"/>
  <c r="AA188" i="14"/>
  <c r="AA194" i="14"/>
  <c r="T196" i="14"/>
  <c r="P184" i="14"/>
  <c r="P190" i="14"/>
  <c r="S5" i="14"/>
  <c r="Y126" i="14" s="1"/>
  <c r="L196" i="14"/>
  <c r="O123" i="14"/>
  <c r="AA180" i="14"/>
  <c r="K128" i="14"/>
  <c r="G181" i="14"/>
  <c r="G69" i="14"/>
  <c r="AB180" i="14"/>
  <c r="Q214" i="14"/>
  <c r="Q211" i="14"/>
  <c r="W123" i="14"/>
  <c r="AB194" i="14"/>
  <c r="AB188" i="14"/>
  <c r="AA213" i="14"/>
  <c r="AA216" i="14"/>
  <c r="Z190" i="14"/>
  <c r="Z196" i="14" s="1"/>
  <c r="Z184" i="14"/>
  <c r="AC180" i="14"/>
  <c r="R67" i="14"/>
  <c r="P124" i="14"/>
  <c r="S67" i="14"/>
  <c r="H181" i="14"/>
  <c r="H69" i="14"/>
  <c r="X196" i="14"/>
  <c r="K19" i="14"/>
  <c r="I188" i="14"/>
  <c r="I126" i="14"/>
  <c r="I131" i="14" s="1"/>
  <c r="I194" i="14"/>
  <c r="I200" i="14" s="1"/>
  <c r="J183" i="14"/>
  <c r="J122" i="14"/>
  <c r="I5" i="17" s="1"/>
  <c r="P214" i="14"/>
  <c r="P211" i="14"/>
  <c r="N211" i="14"/>
  <c r="N214" i="14"/>
  <c r="K126" i="14"/>
  <c r="K188" i="14"/>
  <c r="K194" i="14"/>
  <c r="F191" i="14"/>
  <c r="F197" i="14" s="1"/>
  <c r="F185" i="14"/>
  <c r="F18" i="14"/>
  <c r="F20" i="14" s="1"/>
  <c r="I216" i="14"/>
  <c r="I213" i="14"/>
  <c r="V12" i="14"/>
  <c r="N12" i="14"/>
  <c r="AC12" i="14"/>
  <c r="U12" i="14"/>
  <c r="M12" i="14"/>
  <c r="AB12" i="14"/>
  <c r="T12" i="14"/>
  <c r="L12" i="14"/>
  <c r="W12" i="14"/>
  <c r="AA12" i="14"/>
  <c r="O12" i="14"/>
  <c r="S12" i="14"/>
  <c r="Y12" i="14"/>
  <c r="J12" i="14"/>
  <c r="I22" i="14" s="1"/>
  <c r="I23" i="14" s="1"/>
  <c r="R12" i="14"/>
  <c r="P12" i="14"/>
  <c r="Z12" i="14"/>
  <c r="K12" i="14"/>
  <c r="X12" i="14"/>
  <c r="Q12" i="14"/>
  <c r="P67" i="14"/>
  <c r="S124" i="14"/>
  <c r="U180" i="14"/>
  <c r="R183" i="14"/>
  <c r="R122" i="14"/>
  <c r="Z123" i="14"/>
  <c r="L19" i="14"/>
  <c r="H183" i="14"/>
  <c r="H125" i="14"/>
  <c r="H122" i="14"/>
  <c r="H123" i="14" s="1"/>
  <c r="U123" i="14"/>
  <c r="Y188" i="14"/>
  <c r="Y194" i="14"/>
  <c r="M180" i="14"/>
  <c r="M68" i="14"/>
  <c r="F211" i="14"/>
  <c r="F214" i="14"/>
  <c r="X194" i="14"/>
  <c r="M123" i="14"/>
  <c r="AC190" i="14"/>
  <c r="AC196" i="14" s="1"/>
  <c r="AC184" i="14"/>
  <c r="I189" i="14"/>
  <c r="I127" i="14"/>
  <c r="I132" i="14" s="1"/>
  <c r="I195" i="14"/>
  <c r="I201" i="14" s="1"/>
  <c r="O19" i="14"/>
  <c r="N183" i="14"/>
  <c r="N122" i="14"/>
  <c r="F183" i="14"/>
  <c r="F122" i="14"/>
  <c r="F123" i="14" s="1"/>
  <c r="F125" i="14"/>
  <c r="W190" i="14"/>
  <c r="W184" i="14"/>
  <c r="V122" i="14"/>
  <c r="V183" i="14"/>
  <c r="W180" i="14"/>
  <c r="P183" i="14"/>
  <c r="P122" i="14"/>
  <c r="T213" i="14"/>
  <c r="T216" i="14"/>
  <c r="K196" i="14"/>
  <c r="G183" i="14"/>
  <c r="G122" i="14"/>
  <c r="G123" i="14" s="1"/>
  <c r="G125" i="14"/>
  <c r="I186" i="14"/>
  <c r="I192" i="14"/>
  <c r="I198" i="14" s="1"/>
  <c r="I70" i="14"/>
  <c r="I72" i="14" s="1"/>
  <c r="R211" i="14"/>
  <c r="R214" i="14"/>
  <c r="AD21" i="14"/>
  <c r="H4" i="16"/>
  <c r="H5" i="16" s="1"/>
  <c r="G5" i="16"/>
  <c r="Z194" i="14"/>
  <c r="Z188" i="14"/>
  <c r="S122" i="14"/>
  <c r="S183" i="14"/>
  <c r="J67" i="14"/>
  <c r="I193" i="14"/>
  <c r="I199" i="14" s="1"/>
  <c r="I71" i="14"/>
  <c r="I73" i="14" s="1"/>
  <c r="I187" i="14"/>
  <c r="U213" i="14"/>
  <c r="U216" i="14"/>
  <c r="T194" i="14" l="1"/>
  <c r="I6" i="17"/>
  <c r="T126" i="14"/>
  <c r="I205" i="14"/>
  <c r="AB126" i="14"/>
  <c r="U188" i="14"/>
  <c r="C5" i="16"/>
  <c r="F5" i="16"/>
  <c r="AC126" i="14"/>
  <c r="S17" i="14"/>
  <c r="Z17" i="14"/>
  <c r="Z19" i="14" s="1"/>
  <c r="R17" i="14"/>
  <c r="X126" i="14"/>
  <c r="AA126" i="14"/>
  <c r="Q17" i="14"/>
  <c r="Z126" i="14"/>
  <c r="W126" i="14"/>
  <c r="AC17" i="14"/>
  <c r="AC19" i="14" s="1"/>
  <c r="V17" i="14"/>
  <c r="V19" i="14" s="1"/>
  <c r="AB17" i="14"/>
  <c r="AB19" i="14" s="1"/>
  <c r="W17" i="14"/>
  <c r="I204" i="14"/>
  <c r="I203" i="14"/>
  <c r="P188" i="14"/>
  <c r="P194" i="14"/>
  <c r="F215" i="14"/>
  <c r="F212" i="14"/>
  <c r="W118" i="14"/>
  <c r="W16" i="14"/>
  <c r="AD214" i="14"/>
  <c r="R123" i="14"/>
  <c r="J216" i="14"/>
  <c r="J213" i="14"/>
  <c r="K215" i="14"/>
  <c r="K212" i="14"/>
  <c r="R19" i="14"/>
  <c r="N128" i="14"/>
  <c r="N123" i="14"/>
  <c r="P180" i="14"/>
  <c r="R118" i="14"/>
  <c r="R16" i="14"/>
  <c r="Q180" i="14"/>
  <c r="X212" i="14"/>
  <c r="X215" i="14"/>
  <c r="L192" i="14"/>
  <c r="L186" i="14"/>
  <c r="L70" i="14"/>
  <c r="F195" i="14"/>
  <c r="F201" i="14" s="1"/>
  <c r="F127" i="14"/>
  <c r="F132" i="14" s="1"/>
  <c r="F189" i="14"/>
  <c r="N213" i="14"/>
  <c r="N216" i="14"/>
  <c r="F202" i="14"/>
  <c r="M192" i="14"/>
  <c r="M186" i="14"/>
  <c r="M70" i="14"/>
  <c r="R216" i="14"/>
  <c r="R213" i="14"/>
  <c r="J118" i="14"/>
  <c r="I134" i="14" s="1"/>
  <c r="I135" i="14" s="1"/>
  <c r="D6" i="14"/>
  <c r="J20" i="14" s="1"/>
  <c r="J16" i="14"/>
  <c r="AB118" i="14"/>
  <c r="AB125" i="14" s="1"/>
  <c r="AB16" i="14"/>
  <c r="U17" i="14"/>
  <c r="T17" i="14"/>
  <c r="Y17" i="14"/>
  <c r="Y19" i="14" s="1"/>
  <c r="X17" i="14"/>
  <c r="V196" i="14"/>
  <c r="P216" i="14"/>
  <c r="P213" i="14"/>
  <c r="S126" i="14"/>
  <c r="S194" i="14"/>
  <c r="S188" i="14"/>
  <c r="AA118" i="14"/>
  <c r="AA125" i="14" s="1"/>
  <c r="AA16" i="14"/>
  <c r="K192" i="14"/>
  <c r="K186" i="14"/>
  <c r="K70" i="14"/>
  <c r="M131" i="14"/>
  <c r="H215" i="14"/>
  <c r="H212" i="14"/>
  <c r="AB215" i="14"/>
  <c r="AB212" i="14"/>
  <c r="AA215" i="14"/>
  <c r="AA212" i="14"/>
  <c r="P118" i="14"/>
  <c r="P16" i="14"/>
  <c r="L118" i="14"/>
  <c r="L16" i="14"/>
  <c r="S180" i="14"/>
  <c r="N180" i="14"/>
  <c r="N68" i="14"/>
  <c r="Y212" i="14"/>
  <c r="Y215" i="14"/>
  <c r="Y118" i="14"/>
  <c r="Y125" i="14" s="1"/>
  <c r="Y16" i="14"/>
  <c r="M118" i="14"/>
  <c r="M16" i="14"/>
  <c r="F23" i="14"/>
  <c r="K131" i="14"/>
  <c r="G187" i="14"/>
  <c r="G71" i="14"/>
  <c r="G73" i="14" s="1"/>
  <c r="G77" i="14" s="1"/>
  <c r="G193" i="14"/>
  <c r="G199" i="14" s="1"/>
  <c r="G203" i="14" s="1"/>
  <c r="Q123" i="14"/>
  <c r="R76" i="14"/>
  <c r="V194" i="14"/>
  <c r="V188" i="14"/>
  <c r="V126" i="14"/>
  <c r="L131" i="14"/>
  <c r="T130" i="14"/>
  <c r="K118" i="14"/>
  <c r="K16" i="14"/>
  <c r="N118" i="14"/>
  <c r="N16" i="14"/>
  <c r="D8" i="16"/>
  <c r="J128" i="14"/>
  <c r="J123" i="14"/>
  <c r="Z215" i="14"/>
  <c r="Z212" i="14"/>
  <c r="G9" i="16"/>
  <c r="H8" i="16"/>
  <c r="G205" i="14"/>
  <c r="G208" i="14"/>
  <c r="G217" i="14" s="1"/>
  <c r="Z118" i="14"/>
  <c r="Z125" i="14" s="1"/>
  <c r="Z16" i="14"/>
  <c r="H208" i="14"/>
  <c r="H217" i="14" s="1"/>
  <c r="H205" i="14"/>
  <c r="O131" i="14"/>
  <c r="L215" i="14"/>
  <c r="L212" i="14"/>
  <c r="T118" i="14"/>
  <c r="T16" i="14"/>
  <c r="G189" i="14"/>
  <c r="G195" i="14"/>
  <c r="G201" i="14" s="1"/>
  <c r="G204" i="14" s="1"/>
  <c r="G127" i="14"/>
  <c r="G132" i="14" s="1"/>
  <c r="G135" i="14" s="1"/>
  <c r="J180" i="14"/>
  <c r="J68" i="14"/>
  <c r="P123" i="14"/>
  <c r="F213" i="14"/>
  <c r="F216" i="14"/>
  <c r="M215" i="14"/>
  <c r="M212" i="14"/>
  <c r="H213" i="14"/>
  <c r="H216" i="14"/>
  <c r="U212" i="14"/>
  <c r="U215" i="14"/>
  <c r="Q118" i="14"/>
  <c r="Q16" i="14"/>
  <c r="S118" i="14"/>
  <c r="S16" i="14"/>
  <c r="U118" i="14"/>
  <c r="U16" i="14"/>
  <c r="H187" i="14"/>
  <c r="H71" i="14"/>
  <c r="H73" i="14" s="1"/>
  <c r="H77" i="14" s="1"/>
  <c r="H193" i="14"/>
  <c r="H199" i="14" s="1"/>
  <c r="H203" i="14" s="1"/>
  <c r="G212" i="14"/>
  <c r="G215" i="14"/>
  <c r="P196" i="14"/>
  <c r="AA17" i="14"/>
  <c r="AA19" i="14" s="1"/>
  <c r="O212" i="14"/>
  <c r="O215" i="14"/>
  <c r="V118" i="14"/>
  <c r="V16" i="14"/>
  <c r="V180" i="14"/>
  <c r="T212" i="14"/>
  <c r="T215" i="14"/>
  <c r="S216" i="14"/>
  <c r="S213" i="14"/>
  <c r="S196" i="14"/>
  <c r="W196" i="14"/>
  <c r="AD211" i="14"/>
  <c r="R196" i="14"/>
  <c r="S123" i="14"/>
  <c r="W212" i="14"/>
  <c r="W215" i="14"/>
  <c r="V213" i="14"/>
  <c r="V216" i="14"/>
  <c r="H189" i="14"/>
  <c r="H195" i="14"/>
  <c r="H201" i="14" s="1"/>
  <c r="H204" i="14" s="1"/>
  <c r="H127" i="14"/>
  <c r="H132" i="14" s="1"/>
  <c r="H135" i="14" s="1"/>
  <c r="I77" i="14"/>
  <c r="G213" i="14"/>
  <c r="G216" i="14"/>
  <c r="V123" i="14"/>
  <c r="X118" i="14"/>
  <c r="X16" i="14"/>
  <c r="O118" i="14"/>
  <c r="O16" i="14"/>
  <c r="AC118" i="14"/>
  <c r="AC125" i="14" s="1"/>
  <c r="AC16" i="14"/>
  <c r="R180" i="14"/>
  <c r="AC215" i="14"/>
  <c r="AC212" i="14"/>
  <c r="Q196" i="14"/>
  <c r="R126" i="14"/>
  <c r="R188" i="14"/>
  <c r="R194" i="14"/>
  <c r="Q213" i="14"/>
  <c r="Q216" i="14"/>
  <c r="Q188" i="14"/>
  <c r="Q194" i="14"/>
  <c r="Q126" i="14"/>
  <c r="U126" i="14"/>
  <c r="O186" i="14"/>
  <c r="O70" i="14"/>
  <c r="O192" i="14"/>
  <c r="F187" i="14"/>
  <c r="F193" i="14"/>
  <c r="F199" i="14" s="1"/>
  <c r="F71" i="14"/>
  <c r="F73" i="14" s="1"/>
  <c r="Q19" i="14" l="1"/>
  <c r="W19" i="14"/>
  <c r="M198" i="14"/>
  <c r="M203" i="14" s="1"/>
  <c r="L198" i="14"/>
  <c r="L203" i="14" s="1"/>
  <c r="S19" i="14"/>
  <c r="O198" i="14"/>
  <c r="AD199" i="14"/>
  <c r="F203" i="14"/>
  <c r="H207" i="14"/>
  <c r="H210" i="14"/>
  <c r="H219" i="14" s="1"/>
  <c r="Q191" i="14"/>
  <c r="Q185" i="14"/>
  <c r="S215" i="14"/>
  <c r="S212" i="14"/>
  <c r="AC195" i="14"/>
  <c r="AC201" i="14" s="1"/>
  <c r="AC200" i="14" s="1"/>
  <c r="AC204" i="14" s="1"/>
  <c r="AC189" i="14"/>
  <c r="J132" i="14"/>
  <c r="F24" i="14"/>
  <c r="G24" i="14" s="1"/>
  <c r="H24" i="14" s="1"/>
  <c r="I24" i="14" s="1"/>
  <c r="V125" i="14"/>
  <c r="O72" i="14"/>
  <c r="U125" i="14"/>
  <c r="K198" i="14"/>
  <c r="AC191" i="14"/>
  <c r="AC197" i="14" s="1"/>
  <c r="AC202" i="14" s="1"/>
  <c r="AC185" i="14"/>
  <c r="T125" i="14"/>
  <c r="AD22" i="14"/>
  <c r="N131" i="14"/>
  <c r="P117" i="14"/>
  <c r="O133" i="14" s="1"/>
  <c r="F5" i="14"/>
  <c r="P185" i="14"/>
  <c r="P191" i="14"/>
  <c r="Q125" i="14"/>
  <c r="Z185" i="14"/>
  <c r="Z191" i="14"/>
  <c r="Z197" i="14" s="1"/>
  <c r="Z202" i="14" s="1"/>
  <c r="F205" i="14"/>
  <c r="F208" i="14"/>
  <c r="J215" i="14"/>
  <c r="J212" i="14"/>
  <c r="Z195" i="14"/>
  <c r="Z201" i="14" s="1"/>
  <c r="Z200" i="14" s="1"/>
  <c r="Z204" i="14" s="1"/>
  <c r="Z189" i="14"/>
  <c r="P125" i="14"/>
  <c r="P212" i="14"/>
  <c r="P215" i="14"/>
  <c r="W185" i="14"/>
  <c r="W191" i="14"/>
  <c r="Y189" i="14"/>
  <c r="Y195" i="14"/>
  <c r="Y201" i="14" s="1"/>
  <c r="Y200" i="14" s="1"/>
  <c r="Y204" i="14" s="1"/>
  <c r="X19" i="14"/>
  <c r="F135" i="14"/>
  <c r="X185" i="14"/>
  <c r="X191" i="14"/>
  <c r="V212" i="14"/>
  <c r="V215" i="14"/>
  <c r="S191" i="14"/>
  <c r="S197" i="14" s="1"/>
  <c r="S185" i="14"/>
  <c r="F204" i="14"/>
  <c r="H9" i="16"/>
  <c r="H11" i="16" s="1"/>
  <c r="G11" i="16"/>
  <c r="G12" i="16" s="1"/>
  <c r="J131" i="14"/>
  <c r="K191" i="14"/>
  <c r="K185" i="14"/>
  <c r="U130" i="14"/>
  <c r="AA191" i="14"/>
  <c r="AA197" i="14" s="1"/>
  <c r="AA202" i="14" s="1"/>
  <c r="AA185" i="14"/>
  <c r="AB191" i="14"/>
  <c r="AB197" i="14" s="1"/>
  <c r="AB202" i="14" s="1"/>
  <c r="AB185" i="14"/>
  <c r="L72" i="14"/>
  <c r="R185" i="14"/>
  <c r="R191" i="14"/>
  <c r="R197" i="14" s="1"/>
  <c r="R202" i="14" s="1"/>
  <c r="W125" i="14"/>
  <c r="I207" i="14"/>
  <c r="I210" i="14"/>
  <c r="I219" i="14" s="1"/>
  <c r="L125" i="14"/>
  <c r="J192" i="14"/>
  <c r="J70" i="14"/>
  <c r="J186" i="14"/>
  <c r="N191" i="14"/>
  <c r="N185" i="14"/>
  <c r="M125" i="14"/>
  <c r="AD216" i="14"/>
  <c r="J125" i="14"/>
  <c r="O125" i="14"/>
  <c r="G209" i="14"/>
  <c r="G218" i="14" s="1"/>
  <c r="G206" i="14"/>
  <c r="N125" i="14"/>
  <c r="N186" i="14"/>
  <c r="N192" i="14"/>
  <c r="N70" i="14"/>
  <c r="S125" i="14"/>
  <c r="N212" i="14"/>
  <c r="N215" i="14"/>
  <c r="L191" i="14"/>
  <c r="L185" i="14"/>
  <c r="AA195" i="14"/>
  <c r="AA201" i="14" s="1"/>
  <c r="AA200" i="14" s="1"/>
  <c r="AA204" i="14" s="1"/>
  <c r="AA189" i="14"/>
  <c r="T19" i="14"/>
  <c r="AB195" i="14"/>
  <c r="AB201" i="14" s="1"/>
  <c r="AB200" i="14" s="1"/>
  <c r="AB204" i="14" s="1"/>
  <c r="AB189" i="14"/>
  <c r="I209" i="14"/>
  <c r="I218" i="14" s="1"/>
  <c r="I206" i="14"/>
  <c r="S76" i="14"/>
  <c r="M191" i="14"/>
  <c r="M185" i="14"/>
  <c r="V191" i="14"/>
  <c r="V185" i="14"/>
  <c r="R215" i="14"/>
  <c r="R212" i="14"/>
  <c r="O185" i="14"/>
  <c r="O191" i="14"/>
  <c r="U191" i="14"/>
  <c r="U185" i="14"/>
  <c r="Y185" i="14"/>
  <c r="Y191" i="14"/>
  <c r="Y197" i="14" s="1"/>
  <c r="Y202" i="14" s="1"/>
  <c r="M72" i="14"/>
  <c r="G207" i="14"/>
  <c r="G210" i="14"/>
  <c r="G219" i="14" s="1"/>
  <c r="AD213" i="14"/>
  <c r="AD73" i="14"/>
  <c r="F77" i="14"/>
  <c r="X125" i="14"/>
  <c r="T191" i="14"/>
  <c r="T185" i="14"/>
  <c r="D9" i="16"/>
  <c r="D11" i="16" s="1"/>
  <c r="E8" i="16"/>
  <c r="K125" i="14"/>
  <c r="H209" i="14"/>
  <c r="H218" i="14" s="1"/>
  <c r="H206" i="14"/>
  <c r="K72" i="14"/>
  <c r="U19" i="14"/>
  <c r="S6" i="14"/>
  <c r="AC18" i="14" s="1"/>
  <c r="AC20" i="14" s="1"/>
  <c r="AC23" i="14" s="1"/>
  <c r="J185" i="14"/>
  <c r="J191" i="14"/>
  <c r="Q212" i="14"/>
  <c r="Q215" i="14"/>
  <c r="R125" i="14"/>
  <c r="AD196" i="14"/>
  <c r="K18" i="14" l="1"/>
  <c r="K20" i="14" s="1"/>
  <c r="L18" i="14"/>
  <c r="O203" i="14"/>
  <c r="O209" i="14" s="1"/>
  <c r="Q117" i="14"/>
  <c r="J195" i="14"/>
  <c r="J201" i="14" s="1"/>
  <c r="J200" i="14" s="1"/>
  <c r="J189" i="14"/>
  <c r="F78" i="14"/>
  <c r="G78" i="14" s="1"/>
  <c r="H78" i="14" s="1"/>
  <c r="I78" i="14" s="1"/>
  <c r="AB18" i="14"/>
  <c r="AB20" i="14" s="1"/>
  <c r="AB23" i="14" s="1"/>
  <c r="F207" i="14"/>
  <c r="F210" i="14"/>
  <c r="T197" i="14"/>
  <c r="Y18" i="14"/>
  <c r="Y20" i="14" s="1"/>
  <c r="Y23" i="14" s="1"/>
  <c r="R18" i="14"/>
  <c r="AB205" i="14"/>
  <c r="AB208" i="14"/>
  <c r="AB217" i="14" s="1"/>
  <c r="Z127" i="14"/>
  <c r="Z132" i="14" s="1"/>
  <c r="T195" i="14"/>
  <c r="T127" i="14"/>
  <c r="T189" i="14"/>
  <c r="AC127" i="14"/>
  <c r="AC132" i="14" s="1"/>
  <c r="Q197" i="14"/>
  <c r="Q202" i="14" s="1"/>
  <c r="F209" i="14"/>
  <c r="F206" i="14"/>
  <c r="O18" i="14"/>
  <c r="AA207" i="14"/>
  <c r="AA210" i="14"/>
  <c r="AA219" i="14" s="1"/>
  <c r="N18" i="14"/>
  <c r="U195" i="14"/>
  <c r="U127" i="14"/>
  <c r="U189" i="14"/>
  <c r="V195" i="14"/>
  <c r="V127" i="14"/>
  <c r="V189" i="14"/>
  <c r="K77" i="14"/>
  <c r="X189" i="14"/>
  <c r="X195" i="14"/>
  <c r="X127" i="14"/>
  <c r="V63" i="14"/>
  <c r="AC63" i="14"/>
  <c r="AC68" i="14" s="1"/>
  <c r="U63" i="14"/>
  <c r="AB63" i="14"/>
  <c r="AB68" i="14" s="1"/>
  <c r="T63" i="14"/>
  <c r="AA63" i="14"/>
  <c r="AA68" i="14" s="1"/>
  <c r="P63" i="14"/>
  <c r="O74" i="14" s="1"/>
  <c r="O77" i="14" s="1"/>
  <c r="S63" i="14"/>
  <c r="R63" i="14"/>
  <c r="Q63" i="14"/>
  <c r="Z63" i="14"/>
  <c r="Z68" i="14" s="1"/>
  <c r="Y63" i="14"/>
  <c r="Y68" i="14" s="1"/>
  <c r="X63" i="14"/>
  <c r="W63" i="14"/>
  <c r="W127" i="14"/>
  <c r="W189" i="14"/>
  <c r="W195" i="14"/>
  <c r="K197" i="14"/>
  <c r="J23" i="14"/>
  <c r="V18" i="14"/>
  <c r="J135" i="14"/>
  <c r="E9" i="16"/>
  <c r="E11" i="16" s="1"/>
  <c r="D12" i="16"/>
  <c r="U197" i="14"/>
  <c r="V197" i="14"/>
  <c r="AD212" i="14"/>
  <c r="AB127" i="14"/>
  <c r="AB132" i="14" s="1"/>
  <c r="N195" i="14"/>
  <c r="N127" i="14"/>
  <c r="N189" i="14"/>
  <c r="V130" i="14"/>
  <c r="X18" i="14"/>
  <c r="Y207" i="14"/>
  <c r="Y210" i="14"/>
  <c r="Y219" i="14" s="1"/>
  <c r="W18" i="14"/>
  <c r="P18" i="14"/>
  <c r="AC210" i="14"/>
  <c r="AC219" i="14" s="1"/>
  <c r="AC207" i="14"/>
  <c r="F217" i="14"/>
  <c r="T18" i="14"/>
  <c r="M77" i="14"/>
  <c r="AA205" i="14"/>
  <c r="AA208" i="14"/>
  <c r="AA217" i="14" s="1"/>
  <c r="Z205" i="14"/>
  <c r="Z208" i="14"/>
  <c r="Z217" i="14" s="1"/>
  <c r="AC205" i="14"/>
  <c r="AC208" i="14"/>
  <c r="AC217" i="14" s="1"/>
  <c r="U18" i="14"/>
  <c r="T76" i="14"/>
  <c r="N197" i="14"/>
  <c r="AD19" i="14"/>
  <c r="N198" i="14"/>
  <c r="Z207" i="14"/>
  <c r="Z210" i="14"/>
  <c r="Z219" i="14" s="1"/>
  <c r="J197" i="14"/>
  <c r="M18" i="14"/>
  <c r="AB210" i="14"/>
  <c r="AB219" i="14" s="1"/>
  <c r="AB207" i="14"/>
  <c r="AA127" i="14"/>
  <c r="AA132" i="14" s="1"/>
  <c r="N72" i="14"/>
  <c r="J72" i="14"/>
  <c r="M206" i="14"/>
  <c r="M209" i="14"/>
  <c r="L77" i="14"/>
  <c r="F11" i="16"/>
  <c r="H12" i="16"/>
  <c r="S18" i="14"/>
  <c r="F136" i="14"/>
  <c r="G136" i="14" s="1"/>
  <c r="H136" i="14" s="1"/>
  <c r="I136" i="14" s="1"/>
  <c r="Y127" i="14"/>
  <c r="Y132" i="14" s="1"/>
  <c r="P197" i="14"/>
  <c r="AB128" i="14"/>
  <c r="T128" i="14"/>
  <c r="AA128" i="14"/>
  <c r="S128" i="14"/>
  <c r="Z128" i="14"/>
  <c r="R128" i="14"/>
  <c r="Y128" i="14"/>
  <c r="Q128" i="14"/>
  <c r="V128" i="14"/>
  <c r="U128" i="14"/>
  <c r="P128" i="14"/>
  <c r="AC128" i="14"/>
  <c r="X128" i="14"/>
  <c r="W128" i="14"/>
  <c r="Q18" i="14"/>
  <c r="M197" i="14"/>
  <c r="L197" i="14"/>
  <c r="Q195" i="14"/>
  <c r="Q127" i="14"/>
  <c r="Q189" i="14"/>
  <c r="L206" i="14"/>
  <c r="L209" i="14"/>
  <c r="AD215" i="14"/>
  <c r="K195" i="14"/>
  <c r="K127" i="14"/>
  <c r="K189" i="14"/>
  <c r="O127" i="14"/>
  <c r="O189" i="14"/>
  <c r="O195" i="14"/>
  <c r="Y208" i="14"/>
  <c r="Y217" i="14" s="1"/>
  <c r="Y205" i="14"/>
  <c r="X197" i="14"/>
  <c r="Z18" i="14"/>
  <c r="Z20" i="14" s="1"/>
  <c r="Z23" i="14" s="1"/>
  <c r="R189" i="14"/>
  <c r="R195" i="14"/>
  <c r="R127" i="14"/>
  <c r="O197" i="14"/>
  <c r="S195" i="14"/>
  <c r="S127" i="14"/>
  <c r="S189" i="14"/>
  <c r="M195" i="14"/>
  <c r="M127" i="14"/>
  <c r="M189" i="14"/>
  <c r="L195" i="14"/>
  <c r="L127" i="14"/>
  <c r="L189" i="14"/>
  <c r="AA18" i="14"/>
  <c r="AA20" i="14" s="1"/>
  <c r="AA23" i="14" s="1"/>
  <c r="W197" i="14"/>
  <c r="P189" i="14"/>
  <c r="P127" i="14"/>
  <c r="P195" i="14"/>
  <c r="J198" i="14"/>
  <c r="K203" i="14"/>
  <c r="O206" i="14" l="1"/>
  <c r="J136" i="14"/>
  <c r="R132" i="14"/>
  <c r="Q131" i="14"/>
  <c r="W130" i="14"/>
  <c r="X132" i="14"/>
  <c r="R201" i="14"/>
  <c r="O201" i="14"/>
  <c r="AA192" i="14"/>
  <c r="AA198" i="14" s="1"/>
  <c r="AA203" i="14" s="1"/>
  <c r="AA186" i="14"/>
  <c r="M202" i="14"/>
  <c r="N203" i="14"/>
  <c r="T68" i="14"/>
  <c r="S201" i="14"/>
  <c r="W201" i="14"/>
  <c r="AB192" i="14"/>
  <c r="AB198" i="14" s="1"/>
  <c r="AB203" i="14" s="1"/>
  <c r="AB186" i="14"/>
  <c r="O132" i="14"/>
  <c r="L202" i="14"/>
  <c r="S131" i="14"/>
  <c r="Z192" i="14"/>
  <c r="Z198" i="14" s="1"/>
  <c r="Z203" i="14" s="1"/>
  <c r="Z186" i="14"/>
  <c r="U68" i="14"/>
  <c r="AD133" i="14"/>
  <c r="J203" i="14"/>
  <c r="Q201" i="14"/>
  <c r="T202" i="14"/>
  <c r="K202" i="14"/>
  <c r="S132" i="14"/>
  <c r="X68" i="14"/>
  <c r="P131" i="14"/>
  <c r="H15" i="16"/>
  <c r="H14" i="16"/>
  <c r="M218" i="14"/>
  <c r="J77" i="14"/>
  <c r="J78" i="14" s="1"/>
  <c r="K78" i="14" s="1"/>
  <c r="L78" i="14" s="1"/>
  <c r="M78" i="14" s="1"/>
  <c r="N77" i="14"/>
  <c r="P20" i="14"/>
  <c r="U202" i="14"/>
  <c r="E12" i="16"/>
  <c r="C11" i="16"/>
  <c r="Q68" i="14"/>
  <c r="AC192" i="14"/>
  <c r="AC198" i="14" s="1"/>
  <c r="AC203" i="14" s="1"/>
  <c r="AC186" i="14"/>
  <c r="U132" i="14"/>
  <c r="L132" i="14"/>
  <c r="O202" i="14"/>
  <c r="K132" i="14"/>
  <c r="P202" i="14"/>
  <c r="P201" i="14"/>
  <c r="O218" i="14"/>
  <c r="V132" i="14"/>
  <c r="P132" i="14"/>
  <c r="W131" i="14"/>
  <c r="S20" i="14"/>
  <c r="J202" i="14"/>
  <c r="AD197" i="14"/>
  <c r="X20" i="14"/>
  <c r="X201" i="14"/>
  <c r="V202" i="14"/>
  <c r="V20" i="14"/>
  <c r="Y192" i="14"/>
  <c r="Y198" i="14" s="1"/>
  <c r="Y203" i="14" s="1"/>
  <c r="Y186" i="14"/>
  <c r="W202" i="14"/>
  <c r="X202" i="14"/>
  <c r="M132" i="14"/>
  <c r="S202" i="14"/>
  <c r="U131" i="14"/>
  <c r="T131" i="14"/>
  <c r="N132" i="14"/>
  <c r="L20" i="14"/>
  <c r="W132" i="14"/>
  <c r="R68" i="14"/>
  <c r="V68" i="14"/>
  <c r="U201" i="14"/>
  <c r="T132" i="14"/>
  <c r="F219" i="14"/>
  <c r="R117" i="14"/>
  <c r="T20" i="14"/>
  <c r="D57" i="14"/>
  <c r="P72" i="14" s="1"/>
  <c r="P68" i="14"/>
  <c r="K206" i="14"/>
  <c r="K209" i="14"/>
  <c r="L201" i="14"/>
  <c r="K201" i="14"/>
  <c r="K200" i="14" s="1"/>
  <c r="U20" i="14"/>
  <c r="W68" i="14"/>
  <c r="N20" i="14"/>
  <c r="R131" i="14"/>
  <c r="M20" i="14"/>
  <c r="V201" i="14"/>
  <c r="O20" i="14"/>
  <c r="M201" i="14"/>
  <c r="L218" i="14"/>
  <c r="Q132" i="14"/>
  <c r="Q20" i="14"/>
  <c r="V131" i="14"/>
  <c r="N202" i="14"/>
  <c r="U76" i="14"/>
  <c r="W20" i="14"/>
  <c r="N201" i="14"/>
  <c r="S68" i="14"/>
  <c r="F218" i="14"/>
  <c r="J24" i="14"/>
  <c r="T201" i="14"/>
  <c r="R20" i="14"/>
  <c r="N78" i="14" l="1"/>
  <c r="O78" i="14" s="1"/>
  <c r="AD202" i="14"/>
  <c r="J205" i="14"/>
  <c r="J208" i="14"/>
  <c r="T192" i="14"/>
  <c r="T186" i="14"/>
  <c r="V76" i="14"/>
  <c r="W186" i="14"/>
  <c r="W192" i="14"/>
  <c r="T205" i="14"/>
  <c r="T208" i="14"/>
  <c r="P77" i="14"/>
  <c r="N205" i="14"/>
  <c r="N208" i="14"/>
  <c r="Y209" i="14"/>
  <c r="Y218" i="14" s="1"/>
  <c r="Y206" i="14"/>
  <c r="O200" i="14"/>
  <c r="K218" i="14"/>
  <c r="AD74" i="14"/>
  <c r="T135" i="14"/>
  <c r="V23" i="14"/>
  <c r="X200" i="14"/>
  <c r="W135" i="14"/>
  <c r="S192" i="14"/>
  <c r="S186" i="14"/>
  <c r="L23" i="14"/>
  <c r="M135" i="14"/>
  <c r="O205" i="14"/>
  <c r="O208" i="14"/>
  <c r="P135" i="14"/>
  <c r="Q200" i="14"/>
  <c r="U192" i="14"/>
  <c r="U186" i="14"/>
  <c r="K23" i="14"/>
  <c r="K24" i="14" s="1"/>
  <c r="AD20" i="14"/>
  <c r="S200" i="14"/>
  <c r="N200" i="14"/>
  <c r="P208" i="14"/>
  <c r="P205" i="14"/>
  <c r="T200" i="14"/>
  <c r="U23" i="14"/>
  <c r="T23" i="14"/>
  <c r="AD201" i="14"/>
  <c r="V186" i="14"/>
  <c r="V192" i="14"/>
  <c r="N135" i="14"/>
  <c r="X23" i="14"/>
  <c r="R208" i="14"/>
  <c r="R205" i="14"/>
  <c r="K135" i="14"/>
  <c r="AD132" i="14"/>
  <c r="Z206" i="14"/>
  <c r="Z209" i="14"/>
  <c r="Z218" i="14" s="1"/>
  <c r="L205" i="14"/>
  <c r="L208" i="14"/>
  <c r="O135" i="14"/>
  <c r="R200" i="14"/>
  <c r="R135" i="14"/>
  <c r="P186" i="14"/>
  <c r="R57" i="14"/>
  <c r="P192" i="14"/>
  <c r="S117" i="14"/>
  <c r="U200" i="14"/>
  <c r="W205" i="14"/>
  <c r="W208" i="14"/>
  <c r="J206" i="14"/>
  <c r="J209" i="14"/>
  <c r="L200" i="14"/>
  <c r="S23" i="14"/>
  <c r="W23" i="14"/>
  <c r="V135" i="14"/>
  <c r="P200" i="14"/>
  <c r="X192" i="14"/>
  <c r="X186" i="14"/>
  <c r="Q135" i="14"/>
  <c r="Q23" i="14"/>
  <c r="O23" i="14"/>
  <c r="U135" i="14"/>
  <c r="V205" i="14"/>
  <c r="V208" i="14"/>
  <c r="J14" i="16"/>
  <c r="E14" i="16"/>
  <c r="J15" i="16"/>
  <c r="E15" i="16"/>
  <c r="AB206" i="14"/>
  <c r="AB209" i="14"/>
  <c r="AB218" i="14" s="1"/>
  <c r="Q208" i="14"/>
  <c r="Q205" i="14"/>
  <c r="N209" i="14"/>
  <c r="N206" i="14"/>
  <c r="M200" i="14"/>
  <c r="S208" i="14"/>
  <c r="S205" i="14"/>
  <c r="R23" i="14"/>
  <c r="V200" i="14"/>
  <c r="M205" i="14"/>
  <c r="M208" i="14"/>
  <c r="AC206" i="14"/>
  <c r="AC209" i="14"/>
  <c r="AC218" i="14" s="1"/>
  <c r="K205" i="14"/>
  <c r="K208" i="14"/>
  <c r="S135" i="14"/>
  <c r="L135" i="14"/>
  <c r="Q186" i="14"/>
  <c r="Q192" i="14"/>
  <c r="M23" i="14"/>
  <c r="N23" i="14"/>
  <c r="R192" i="14"/>
  <c r="R186" i="14"/>
  <c r="X208" i="14"/>
  <c r="X205" i="14"/>
  <c r="U205" i="14"/>
  <c r="U208" i="14"/>
  <c r="P23" i="14"/>
  <c r="W200" i="14"/>
  <c r="AA206" i="14"/>
  <c r="AA209" i="14"/>
  <c r="AA218" i="14" s="1"/>
  <c r="X130" i="14"/>
  <c r="X198" i="14" l="1"/>
  <c r="J218" i="14"/>
  <c r="Q217" i="14"/>
  <c r="J204" i="14"/>
  <c r="AD200" i="14"/>
  <c r="W198" i="14"/>
  <c r="P78" i="14"/>
  <c r="AD205" i="14"/>
  <c r="U217" i="14"/>
  <c r="K217" i="14"/>
  <c r="S217" i="14"/>
  <c r="W76" i="14"/>
  <c r="Y70" i="14"/>
  <c r="Y72" i="14" s="1"/>
  <c r="AA70" i="14"/>
  <c r="AA72" i="14" s="1"/>
  <c r="AC70" i="14"/>
  <c r="AC72" i="14" s="1"/>
  <c r="AB70" i="14"/>
  <c r="AB72" i="14" s="1"/>
  <c r="Z70" i="14"/>
  <c r="Z72" i="14" s="1"/>
  <c r="L217" i="14"/>
  <c r="R204" i="14"/>
  <c r="R217" i="14"/>
  <c r="T70" i="14"/>
  <c r="R198" i="14"/>
  <c r="M217" i="14"/>
  <c r="U204" i="14"/>
  <c r="U70" i="14"/>
  <c r="K204" i="14"/>
  <c r="L204" i="14"/>
  <c r="T117" i="14"/>
  <c r="V198" i="14"/>
  <c r="T204" i="14"/>
  <c r="U198" i="14"/>
  <c r="O204" i="14"/>
  <c r="T198" i="14"/>
  <c r="W70" i="14"/>
  <c r="Q70" i="14"/>
  <c r="X70" i="14"/>
  <c r="L24" i="14"/>
  <c r="P217" i="14"/>
  <c r="V204" i="14"/>
  <c r="V70" i="14"/>
  <c r="AD23" i="14"/>
  <c r="AD24" i="14" s="1"/>
  <c r="Q204" i="14"/>
  <c r="N217" i="14"/>
  <c r="Y130" i="14"/>
  <c r="X131" i="14"/>
  <c r="S198" i="14"/>
  <c r="W217" i="14"/>
  <c r="K136" i="14"/>
  <c r="L136" i="14" s="1"/>
  <c r="M136" i="14" s="1"/>
  <c r="N136" i="14" s="1"/>
  <c r="O136" i="14" s="1"/>
  <c r="P136" i="14" s="1"/>
  <c r="Q136" i="14" s="1"/>
  <c r="R136" i="14" s="1"/>
  <c r="S136" i="14" s="1"/>
  <c r="T136" i="14" s="1"/>
  <c r="U136" i="14" s="1"/>
  <c r="V136" i="14" s="1"/>
  <c r="W136" i="14" s="1"/>
  <c r="N204" i="14"/>
  <c r="R70" i="14"/>
  <c r="X204" i="14"/>
  <c r="T217" i="14"/>
  <c r="J217" i="14"/>
  <c r="AD208" i="14"/>
  <c r="S204" i="14"/>
  <c r="W204" i="14"/>
  <c r="X217" i="14"/>
  <c r="Q198" i="14"/>
  <c r="M204" i="14"/>
  <c r="N218" i="14"/>
  <c r="V217" i="14"/>
  <c r="P204" i="14"/>
  <c r="P198" i="14"/>
  <c r="O217" i="14"/>
  <c r="S70" i="14"/>
  <c r="AD204" i="14" l="1"/>
  <c r="U210" i="14"/>
  <c r="U207" i="14"/>
  <c r="U203" i="14"/>
  <c r="R207" i="14"/>
  <c r="R210" i="14"/>
  <c r="Q203" i="14"/>
  <c r="R72" i="14"/>
  <c r="V207" i="14"/>
  <c r="V210" i="14"/>
  <c r="W72" i="14"/>
  <c r="T72" i="14"/>
  <c r="X76" i="14"/>
  <c r="W203" i="14"/>
  <c r="M210" i="14"/>
  <c r="M207" i="14"/>
  <c r="S207" i="14"/>
  <c r="S210" i="14"/>
  <c r="Z130" i="14"/>
  <c r="Y131" i="14"/>
  <c r="Y135" i="14" s="1"/>
  <c r="V72" i="14"/>
  <c r="Q207" i="14"/>
  <c r="Q210" i="14"/>
  <c r="U117" i="14"/>
  <c r="U72" i="14"/>
  <c r="X203" i="14"/>
  <c r="N210" i="14"/>
  <c r="N207" i="14"/>
  <c r="X72" i="14"/>
  <c r="O210" i="14"/>
  <c r="O207" i="14"/>
  <c r="T203" i="14"/>
  <c r="R203" i="14"/>
  <c r="J207" i="14"/>
  <c r="J210" i="14"/>
  <c r="X207" i="14"/>
  <c r="X210" i="14"/>
  <c r="W207" i="14"/>
  <c r="W210" i="14"/>
  <c r="AD217" i="14"/>
  <c r="X135" i="14"/>
  <c r="X136" i="14" s="1"/>
  <c r="Q72" i="14"/>
  <c r="L210" i="14"/>
  <c r="L207" i="14"/>
  <c r="K207" i="14"/>
  <c r="K210" i="14"/>
  <c r="P203" i="14"/>
  <c r="AD198" i="14"/>
  <c r="M24" i="14"/>
  <c r="V203" i="14"/>
  <c r="S72" i="14"/>
  <c r="P207" i="14"/>
  <c r="P210" i="14"/>
  <c r="S203" i="14"/>
  <c r="T210" i="14"/>
  <c r="T207" i="14"/>
  <c r="Y136" i="14" l="1"/>
  <c r="U219" i="14"/>
  <c r="P219" i="14"/>
  <c r="W77" i="14"/>
  <c r="S206" i="14"/>
  <c r="S209" i="14"/>
  <c r="V209" i="14"/>
  <c r="V206" i="14"/>
  <c r="AD207" i="14"/>
  <c r="O219" i="14"/>
  <c r="U206" i="14"/>
  <c r="U209" i="14"/>
  <c r="S219" i="14"/>
  <c r="R206" i="14"/>
  <c r="R209" i="14"/>
  <c r="N219" i="14"/>
  <c r="X219" i="14"/>
  <c r="J219" i="14"/>
  <c r="AD210" i="14"/>
  <c r="Q77" i="14"/>
  <c r="AD72" i="14"/>
  <c r="X77" i="14"/>
  <c r="X209" i="14"/>
  <c r="X206" i="14"/>
  <c r="M219" i="14"/>
  <c r="V219" i="14"/>
  <c r="R77" i="14"/>
  <c r="T219" i="14"/>
  <c r="U77" i="14"/>
  <c r="S77" i="14"/>
  <c r="T206" i="14"/>
  <c r="T209" i="14"/>
  <c r="V117" i="14"/>
  <c r="V77" i="14"/>
  <c r="N24" i="14"/>
  <c r="L219" i="14"/>
  <c r="P206" i="14"/>
  <c r="P209" i="14"/>
  <c r="AD203" i="14"/>
  <c r="Q206" i="14"/>
  <c r="Q209" i="14"/>
  <c r="K219" i="14"/>
  <c r="W219" i="14"/>
  <c r="T77" i="14"/>
  <c r="R219" i="14"/>
  <c r="Q219" i="14"/>
  <c r="AA130" i="14"/>
  <c r="Z131" i="14"/>
  <c r="Z135" i="14" s="1"/>
  <c r="W209" i="14"/>
  <c r="W206" i="14"/>
  <c r="Y76" i="14"/>
  <c r="O24" i="14" l="1"/>
  <c r="Q218" i="14"/>
  <c r="Z136" i="14"/>
  <c r="W218" i="14"/>
  <c r="Z76" i="14"/>
  <c r="Y77" i="14"/>
  <c r="W117" i="14"/>
  <c r="AD219" i="14"/>
  <c r="T218" i="14"/>
  <c r="AD206" i="14"/>
  <c r="V218" i="14"/>
  <c r="X218" i="14"/>
  <c r="R218" i="14"/>
  <c r="U218" i="14"/>
  <c r="P218" i="14"/>
  <c r="AD209" i="14"/>
  <c r="AB130" i="14"/>
  <c r="AA131" i="14"/>
  <c r="AA135" i="14" s="1"/>
  <c r="Q78" i="14"/>
  <c r="R78" i="14" s="1"/>
  <c r="S78" i="14" s="1"/>
  <c r="T78" i="14" s="1"/>
  <c r="U78" i="14" s="1"/>
  <c r="V78" i="14" s="1"/>
  <c r="W78" i="14" s="1"/>
  <c r="X78" i="14" s="1"/>
  <c r="S218" i="14"/>
  <c r="AA136" i="14" l="1"/>
  <c r="Y78" i="14"/>
  <c r="AD218" i="14"/>
  <c r="AA76" i="14"/>
  <c r="Z77" i="14"/>
  <c r="AC130" i="14"/>
  <c r="AC131" i="14" s="1"/>
  <c r="AB131" i="14"/>
  <c r="AB135" i="14" s="1"/>
  <c r="P24" i="14"/>
  <c r="X117" i="14"/>
  <c r="AB136" i="14" l="1"/>
  <c r="Z78" i="14"/>
  <c r="Q24" i="14"/>
  <c r="AB76" i="14"/>
  <c r="AA77" i="14"/>
  <c r="Y117" i="14"/>
  <c r="Z117" i="14" s="1"/>
  <c r="AA117" i="14" s="1"/>
  <c r="AB117" i="14" s="1"/>
  <c r="AC117" i="14" s="1"/>
  <c r="AC135" i="14"/>
  <c r="AD135" i="14" s="1"/>
  <c r="AD136" i="14" s="1"/>
  <c r="AD131" i="14"/>
  <c r="AA78" i="14" l="1"/>
  <c r="R24" i="14"/>
  <c r="AC136" i="14"/>
  <c r="AC76" i="14"/>
  <c r="AB77" i="14"/>
  <c r="AB78" i="14" l="1"/>
  <c r="AD76" i="14"/>
  <c r="AC77" i="14"/>
  <c r="AD77" i="14" s="1"/>
  <c r="AD78" i="14" s="1"/>
  <c r="S24" i="14"/>
  <c r="AC78" i="14" l="1"/>
  <c r="T24" i="14"/>
  <c r="U24" i="14" l="1"/>
  <c r="V24" i="14" l="1"/>
  <c r="W24" i="14" l="1"/>
  <c r="X24" i="14" l="1"/>
  <c r="Y24" i="14" l="1"/>
  <c r="Z24" i="14" s="1"/>
  <c r="AA24" i="14" s="1"/>
  <c r="AB24" i="14" s="1"/>
  <c r="AC24" i="14" s="1"/>
</calcChain>
</file>

<file path=xl/sharedStrings.xml><?xml version="1.0" encoding="utf-8"?>
<sst xmlns="http://schemas.openxmlformats.org/spreadsheetml/2006/main" count="610" uniqueCount="296">
  <si>
    <t>項目</t>
  </si>
  <si>
    <t>値</t>
  </si>
  <si>
    <t>単位</t>
  </si>
  <si>
    <t>行政面積</t>
  </si>
  <si>
    <t>km2</t>
  </si>
  <si>
    <t>行政人口</t>
  </si>
  <si>
    <t>人</t>
  </si>
  <si>
    <t>下水道整備率</t>
  </si>
  <si>
    <t>％</t>
  </si>
  <si>
    <t>汚水処理人口</t>
  </si>
  <si>
    <t>汚水処理普及率（人口普及率）</t>
  </si>
  <si>
    <t>年度</t>
  </si>
  <si>
    <t>1（現在）</t>
  </si>
  <si>
    <t>2</t>
  </si>
  <si>
    <t>3</t>
  </si>
  <si>
    <t>4</t>
  </si>
  <si>
    <t>5</t>
  </si>
  <si>
    <t>6</t>
  </si>
  <si>
    <t>7</t>
  </si>
  <si>
    <t>8</t>
  </si>
  <si>
    <t>9</t>
  </si>
  <si>
    <t>10</t>
  </si>
  <si>
    <t>11</t>
  </si>
  <si>
    <t>12</t>
  </si>
  <si>
    <t>13</t>
  </si>
  <si>
    <t>14</t>
  </si>
  <si>
    <t>15</t>
  </si>
  <si>
    <t>16</t>
  </si>
  <si>
    <t>17</t>
  </si>
  <si>
    <t>18</t>
  </si>
  <si>
    <t>19</t>
  </si>
  <si>
    <t>20</t>
  </si>
  <si>
    <t>21</t>
  </si>
  <si>
    <t>22</t>
  </si>
  <si>
    <t>23</t>
  </si>
  <si>
    <t>24</t>
  </si>
  <si>
    <t>25</t>
  </si>
  <si>
    <t>現在</t>
  </si>
  <si>
    <t>割合</t>
  </si>
  <si>
    <t>下水道計画区域内人口</t>
  </si>
  <si>
    <t>A処理区</t>
  </si>
  <si>
    <t>B処理区</t>
  </si>
  <si>
    <t>単位：L/人・日</t>
  </si>
  <si>
    <t>区分</t>
  </si>
  <si>
    <t>原単位</t>
  </si>
  <si>
    <t>備考</t>
  </si>
  <si>
    <t>日平均</t>
  </si>
  <si>
    <t>日最大</t>
  </si>
  <si>
    <t>汚水量</t>
  </si>
  <si>
    <t>A処理区（下水道）</t>
  </si>
  <si>
    <t>全体計画値（実績値）</t>
  </si>
  <si>
    <t>B処理区（下水道）</t>
  </si>
  <si>
    <t>〃</t>
  </si>
  <si>
    <t>-</t>
  </si>
  <si>
    <t>処理形態</t>
  </si>
  <si>
    <t>H28</t>
  </si>
  <si>
    <t>H29</t>
  </si>
  <si>
    <t>H30</t>
  </si>
  <si>
    <t>H31</t>
  </si>
  <si>
    <t>H32</t>
  </si>
  <si>
    <t>H33</t>
  </si>
  <si>
    <t>H34</t>
  </si>
  <si>
    <t>H35</t>
  </si>
  <si>
    <t>H36</t>
  </si>
  <si>
    <t>H37</t>
  </si>
  <si>
    <t>H38</t>
  </si>
  <si>
    <t>H39</t>
  </si>
  <si>
    <t>H40</t>
  </si>
  <si>
    <t>H41</t>
  </si>
  <si>
    <t>H42</t>
  </si>
  <si>
    <t>H43</t>
  </si>
  <si>
    <t>H44</t>
  </si>
  <si>
    <t>H45</t>
  </si>
  <si>
    <t>H46</t>
  </si>
  <si>
    <t>H47</t>
  </si>
  <si>
    <t>H48</t>
  </si>
  <si>
    <t>H49</t>
  </si>
  <si>
    <t>H50</t>
  </si>
  <si>
    <t>H51</t>
  </si>
  <si>
    <t>H52</t>
  </si>
  <si>
    <t>A処理区（下水道）（m3/日）</t>
  </si>
  <si>
    <t>B処理区（下水道）（m3/日）</t>
  </si>
  <si>
    <t>処理場</t>
  </si>
  <si>
    <t>処理方式</t>
  </si>
  <si>
    <t>日最大処理能力</t>
  </si>
  <si>
    <t>現在の処理水量</t>
  </si>
  <si>
    <t>稼働率</t>
  </si>
  <si>
    <r>
      <rPr>
        <sz val="11"/>
        <color theme="1"/>
        <rFont val="ＭＳ Ｐゴシック"/>
        <family val="3"/>
        <charset val="128"/>
      </rPr>
      <t>m</t>
    </r>
    <r>
      <rPr>
        <vertAlign val="superscript"/>
        <sz val="11"/>
        <color theme="1"/>
        <rFont val="ＭＳ Ｐゴシック"/>
        <family val="3"/>
        <charset val="128"/>
      </rPr>
      <t>3</t>
    </r>
    <r>
      <rPr>
        <sz val="11"/>
        <color theme="1"/>
        <rFont val="ＭＳ Ｐゴシック"/>
        <family val="3"/>
        <charset val="128"/>
      </rPr>
      <t>/日</t>
    </r>
  </si>
  <si>
    <t>(a)</t>
  </si>
  <si>
    <t>(b)</t>
  </si>
  <si>
    <t>(b) / (a)</t>
  </si>
  <si>
    <t>A下水処理場</t>
  </si>
  <si>
    <t>標準法</t>
  </si>
  <si>
    <t>B下水処理場</t>
  </si>
  <si>
    <t>OD法</t>
  </si>
  <si>
    <t>維持管理費</t>
  </si>
  <si>
    <t>消費電力量
［kWh/年］
※１</t>
  </si>
  <si>
    <t>合計(a)
［千円/年］</t>
  </si>
  <si>
    <t>固定費(b)
［千円/年］</t>
  </si>
  <si>
    <t>電力費(c)
［千円/年］</t>
  </si>
  <si>
    <t>（うち、汚泥処理系）</t>
  </si>
  <si>
    <t>※２</t>
  </si>
  <si>
    <t>※１：電力費÷電力料単価（本シナリオ例では15円/kwh）</t>
  </si>
  <si>
    <t>※２：能力活用ケースにおいて、核となる処理施設における汚泥処理系の維持管理費を算出するために必要</t>
  </si>
  <si>
    <r>
      <rPr>
        <sz val="11"/>
        <color theme="1"/>
        <rFont val="ＭＳ Ｐゴシック"/>
        <family val="3"/>
        <charset val="128"/>
      </rPr>
      <t>単位：円/ｍ</t>
    </r>
    <r>
      <rPr>
        <vertAlign val="superscript"/>
        <sz val="11"/>
        <color theme="1"/>
        <rFont val="ＭＳ Ｐゴシック"/>
        <family val="3"/>
        <charset val="128"/>
      </rPr>
      <t>3　</t>
    </r>
    <r>
      <rPr>
        <sz val="11"/>
        <color theme="1"/>
        <rFont val="ＭＳ Ｐゴシック"/>
        <family val="3"/>
        <charset val="128"/>
      </rPr>
      <t>※１</t>
    </r>
  </si>
  <si>
    <t>固定維持
管理費原単位</t>
  </si>
  <si>
    <t>消費電力量
原単位</t>
  </si>
  <si>
    <t>※１：維持管理費÷処理水量（汚泥処理系は汚泥量）</t>
  </si>
  <si>
    <t>　行政人口</t>
  </si>
  <si>
    <t>人口</t>
  </si>
  <si>
    <t>A処理区内人口（人）</t>
  </si>
  <si>
    <t>流入SS</t>
  </si>
  <si>
    <t>ｍｇ/Ｌ</t>
  </si>
  <si>
    <t>B処理区内人口（人）</t>
  </si>
  <si>
    <t>SS除去率</t>
  </si>
  <si>
    <t>SSあたり汚泥発生率</t>
  </si>
  <si>
    <t>処理水量</t>
  </si>
  <si>
    <r>
      <rPr>
        <sz val="11"/>
        <color theme="1"/>
        <rFont val="ＭＳ Ｐゴシック"/>
        <family val="3"/>
        <charset val="128"/>
      </rPr>
      <t>A処理区（日平均）（m</t>
    </r>
    <r>
      <rPr>
        <vertAlign val="superscript"/>
        <sz val="11"/>
        <color theme="1"/>
        <rFont val="ＭＳ Ｐゴシック"/>
        <family val="3"/>
        <charset val="128"/>
      </rPr>
      <t>3</t>
    </r>
    <r>
      <rPr>
        <sz val="11"/>
        <color theme="1"/>
        <rFont val="ＭＳ Ｐゴシック"/>
        <family val="3"/>
        <charset val="128"/>
      </rPr>
      <t>/日）</t>
    </r>
  </si>
  <si>
    <r>
      <rPr>
        <sz val="11"/>
        <color theme="1"/>
        <rFont val="ＭＳ Ｐゴシック"/>
        <family val="3"/>
        <charset val="128"/>
      </rPr>
      <t>A処理区（日最大）（m</t>
    </r>
    <r>
      <rPr>
        <vertAlign val="superscript"/>
        <sz val="11"/>
        <color theme="1"/>
        <rFont val="ＭＳ Ｐゴシック"/>
        <family val="3"/>
        <charset val="128"/>
      </rPr>
      <t>3</t>
    </r>
    <r>
      <rPr>
        <sz val="11"/>
        <color theme="1"/>
        <rFont val="ＭＳ Ｐゴシック"/>
        <family val="3"/>
        <charset val="128"/>
      </rPr>
      <t>/日）</t>
    </r>
  </si>
  <si>
    <t>汚泥濃度</t>
  </si>
  <si>
    <r>
      <rPr>
        <sz val="11"/>
        <color theme="1"/>
        <rFont val="ＭＳ Ｐゴシック"/>
        <family val="3"/>
        <charset val="128"/>
      </rPr>
      <t>B処理区（日平均）（m</t>
    </r>
    <r>
      <rPr>
        <vertAlign val="superscript"/>
        <sz val="11"/>
        <color theme="1"/>
        <rFont val="ＭＳ Ｐゴシック"/>
        <family val="3"/>
        <charset val="128"/>
      </rPr>
      <t>3</t>
    </r>
    <r>
      <rPr>
        <sz val="11"/>
        <color theme="1"/>
        <rFont val="ＭＳ Ｐゴシック"/>
        <family val="3"/>
        <charset val="128"/>
      </rPr>
      <t>/日）</t>
    </r>
  </si>
  <si>
    <r>
      <rPr>
        <sz val="11"/>
        <color theme="1"/>
        <rFont val="ＭＳ Ｐゴシック"/>
        <family val="3"/>
        <charset val="128"/>
      </rPr>
      <t>B処理区（日最大）（m</t>
    </r>
    <r>
      <rPr>
        <vertAlign val="superscript"/>
        <sz val="11"/>
        <color theme="1"/>
        <rFont val="ＭＳ Ｐゴシック"/>
        <family val="3"/>
        <charset val="128"/>
      </rPr>
      <t>3</t>
    </r>
    <r>
      <rPr>
        <sz val="11"/>
        <color theme="1"/>
        <rFont val="ＭＳ Ｐゴシック"/>
        <family val="3"/>
        <charset val="128"/>
      </rPr>
      <t>/日）</t>
    </r>
  </si>
  <si>
    <t>A下水処理場稼働率（％）</t>
  </si>
  <si>
    <t>B下水処理場稼働率（％）</t>
  </si>
  <si>
    <r>
      <rPr>
        <sz val="11"/>
        <color theme="1"/>
        <rFont val="ＭＳ Ｐゴシック"/>
        <family val="3"/>
        <charset val="128"/>
      </rPr>
      <t xml:space="preserve">発生
汚泥量
</t>
    </r>
    <r>
      <rPr>
        <sz val="10"/>
        <color theme="1"/>
        <rFont val="ＭＳ Ｐゴシック"/>
        <family val="3"/>
        <charset val="128"/>
      </rPr>
      <t>（汚泥
処理量）</t>
    </r>
  </si>
  <si>
    <t>BOD</t>
  </si>
  <si>
    <t>合計</t>
  </si>
  <si>
    <t>施設</t>
  </si>
  <si>
    <t>m3/日</t>
  </si>
  <si>
    <t>水処理維持管理原単位①
（更新前）</t>
  </si>
  <si>
    <t>水処理維持管理原単位②
（更新後）</t>
  </si>
  <si>
    <t>汚泥処理維持管理原単位①</t>
  </si>
  <si>
    <t>汚泥処理維持管理原単位②</t>
  </si>
  <si>
    <t>更新費</t>
  </si>
  <si>
    <t>MP建設</t>
  </si>
  <si>
    <t>MP維持管理費</t>
  </si>
  <si>
    <t>管きょ建設</t>
  </si>
  <si>
    <t>管きょ維持管理（円）</t>
  </si>
  <si>
    <t>維持管理補正係数</t>
  </si>
  <si>
    <t>基準</t>
  </si>
  <si>
    <t>汚泥
割合</t>
  </si>
  <si>
    <t>存続する水処理系の割合</t>
  </si>
  <si>
    <t>水処理更新費</t>
  </si>
  <si>
    <t>汚泥更新費</t>
  </si>
  <si>
    <t>脱臭更新費</t>
  </si>
  <si>
    <t>現状</t>
  </si>
  <si>
    <t>更新後1</t>
  </si>
  <si>
    <t>更新後2</t>
  </si>
  <si>
    <t>a</t>
  </si>
  <si>
    <t>b</t>
  </si>
  <si>
    <t>係数1</t>
  </si>
  <si>
    <t>係数2</t>
  </si>
  <si>
    <t>既存施設の更新</t>
  </si>
  <si>
    <t>①処理能力</t>
  </si>
  <si>
    <t>②処理水量（日平均）</t>
  </si>
  <si>
    <t>③稼働率</t>
  </si>
  <si>
    <t>④維持管理係数の比</t>
  </si>
  <si>
    <t>⑤維持管理費</t>
  </si>
  <si>
    <t>百万円/年</t>
  </si>
  <si>
    <t>⑥機電更新費</t>
  </si>
  <si>
    <t>⑦合計事業費</t>
  </si>
  <si>
    <t>⑧累計事業費</t>
  </si>
  <si>
    <t>：更新年次の「処理水量（日平均）」／0.7（変動率）の500区切りで設定（A下水処理場は12年目、B下水処理場は6年目に更新）</t>
  </si>
  <si>
    <t>25年間の年価↑</t>
  </si>
  <si>
    <t>：更新年次の「流入水量」／0.7（変動率）の500区切りで設定（A下水処理場は平成39年度、B下水処理場は平成33年度に更新）</t>
  </si>
  <si>
    <t>：将来フレームより</t>
  </si>
  <si>
    <t>：「②処理水量（日平均）」/「①処理能力」</t>
  </si>
  <si>
    <t>：「当該年次の維持管理係数」/「基準年の維持管理係数」</t>
  </si>
  <si>
    <t>：「⑤維持管理費」+「⑥機電更新費」</t>
  </si>
  <si>
    <t>：「前年度までの合計」+「当該年度の合計」</t>
  </si>
  <si>
    <t>処理施設の再編成</t>
  </si>
  <si>
    <t>A下水処理場に接続</t>
  </si>
  <si>
    <t>A下水処理場
（統合前）</t>
  </si>
  <si>
    <t>m3/日
（日平均）</t>
  </si>
  <si>
    <t>A下水処理場
（統合後）</t>
  </si>
  <si>
    <t>事業実施時
A下水処理場</t>
  </si>
  <si>
    <t>⑦接続事業費</t>
  </si>
  <si>
    <t>事業実施費</t>
  </si>
  <si>
    <t>⑧合計事業費</t>
  </si>
  <si>
    <t>⑨累計事業費</t>
  </si>
  <si>
    <t>：更新年次の「流入水量」／0.7（変動率）の500区切りで設定（A下水処理場は12年目に更新）</t>
  </si>
  <si>
    <t>：MP建設費；920万円/基、MP維持管理費；22万円/基/年、管きょ建設費；4.5万円/m（圧送管）、管きょ維持管理費；60円/m/年</t>
  </si>
  <si>
    <t>既存施設の能力活用</t>
  </si>
  <si>
    <t>A下水処理場
（汚泥処理）</t>
  </si>
  <si>
    <t>②-1処理水量</t>
  </si>
  <si>
    <t>②-2発生汚泥量
　　　（汚泥処理量）</t>
  </si>
  <si>
    <t>⑤-1汚泥処理系
増加維持管理費</t>
  </si>
  <si>
    <t>汚泥輸送費</t>
  </si>
  <si>
    <t>⑤-2維持管理費</t>
  </si>
  <si>
    <t>②-2発生汚泥量</t>
  </si>
  <si>
    <t>：実績値を基に水量比で減少すると想定して設定。流入水質180mg/ℓ、SS除去率95％、SS当たり汚泥転換率100％（標準法）と75％（OD法）、汚泥濃度1％</t>
  </si>
  <si>
    <t>⑤-1増加維持管理費</t>
  </si>
  <si>
    <t>：B下水処理場の「②-2汚泥量」×「A下水処理場の汚泥処理系維持管理原単位」」　汚泥輸送費は実績値より10百万円/年を見込む</t>
  </si>
  <si>
    <t>：「②処理水量（日平均）」×365日×「④維持管理係数の比」×「維持管理原単位」+「⑤-1増加維持管理費」（維持管理原単位はA処理場が75円/ｍ3、B処理場が85円/m3）　</t>
  </si>
  <si>
    <t>　ただし、B処理場の更新後維持管理費は汚泥処理系を除いたものであるため0.49を掛け合わせる</t>
  </si>
  <si>
    <t>：別表参照</t>
  </si>
  <si>
    <t>環境面</t>
  </si>
  <si>
    <t>電力係数</t>
  </si>
  <si>
    <t>実績値
消費電力量kw/年</t>
  </si>
  <si>
    <t>単位消費電力量ｋｗ/m3</t>
  </si>
  <si>
    <t>CH4</t>
  </si>
  <si>
    <t>NO2</t>
  </si>
  <si>
    <r>
      <rPr>
        <sz val="11"/>
        <color theme="1"/>
        <rFont val="ＭＳ Ｐゴシック"/>
        <family val="3"/>
        <charset val="128"/>
      </rPr>
      <t>処理水量（日平均）
[m</t>
    </r>
    <r>
      <rPr>
        <vertAlign val="superscript"/>
        <sz val="11"/>
        <color theme="1"/>
        <rFont val="ＭＳ Ｐゴシック"/>
        <family val="3"/>
        <charset val="128"/>
      </rPr>
      <t>3</t>
    </r>
    <r>
      <rPr>
        <sz val="11"/>
        <color theme="1"/>
        <rFont val="ＭＳ Ｐゴシック"/>
        <family val="3"/>
        <charset val="128"/>
      </rPr>
      <t>/日］</t>
    </r>
  </si>
  <si>
    <t>既存施設
の更新</t>
  </si>
  <si>
    <t>A処理場</t>
  </si>
  <si>
    <t>B処理場</t>
  </si>
  <si>
    <t>処理施設
の再編成</t>
  </si>
  <si>
    <t>A処理場に統合</t>
  </si>
  <si>
    <t>既存施設
の能力活用</t>
  </si>
  <si>
    <t>電力係数の比</t>
  </si>
  <si>
    <t>消費電力量［千kWh］</t>
  </si>
  <si>
    <t>既存施設の更新再編成</t>
  </si>
  <si>
    <t>消費エネルギー量
［千MJ］</t>
  </si>
  <si>
    <r>
      <rPr>
        <sz val="11"/>
        <color theme="1"/>
        <rFont val="ＭＳ Ｐゴシック"/>
        <family val="3"/>
        <charset val="128"/>
      </rPr>
      <t>GHG排出量［t-CO</t>
    </r>
    <r>
      <rPr>
        <vertAlign val="subscript"/>
        <sz val="11"/>
        <color theme="1"/>
        <rFont val="ＭＳ Ｐゴシック"/>
        <family val="3"/>
        <charset val="128"/>
      </rPr>
      <t>2</t>
    </r>
    <r>
      <rPr>
        <sz val="11"/>
        <color theme="1"/>
        <rFont val="ＭＳ Ｐゴシック"/>
        <family val="3"/>
        <charset val="128"/>
      </rPr>
      <t>］
【二酸化炭素由来】</t>
    </r>
  </si>
  <si>
    <r>
      <rPr>
        <sz val="11"/>
        <color theme="1"/>
        <rFont val="ＭＳ Ｐゴシック"/>
        <family val="3"/>
        <charset val="128"/>
      </rPr>
      <t>GHG排出量［t-CH</t>
    </r>
    <r>
      <rPr>
        <vertAlign val="subscript"/>
        <sz val="11"/>
        <color theme="1"/>
        <rFont val="ＭＳ Ｐゴシック"/>
        <family val="3"/>
        <charset val="128"/>
      </rPr>
      <t>4</t>
    </r>
    <r>
      <rPr>
        <sz val="11"/>
        <color theme="1"/>
        <rFont val="ＭＳ Ｐゴシック"/>
        <family val="3"/>
        <charset val="128"/>
      </rPr>
      <t>］
【メタン由来】</t>
    </r>
  </si>
  <si>
    <r>
      <rPr>
        <sz val="11"/>
        <color theme="1"/>
        <rFont val="ＭＳ Ｐゴシック"/>
        <family val="3"/>
        <charset val="128"/>
      </rPr>
      <t>GHG排出量［t-N</t>
    </r>
    <r>
      <rPr>
        <vertAlign val="subscript"/>
        <sz val="11"/>
        <color theme="1"/>
        <rFont val="ＭＳ Ｐゴシック"/>
        <family val="3"/>
        <charset val="128"/>
      </rPr>
      <t>2</t>
    </r>
    <r>
      <rPr>
        <sz val="11"/>
        <color theme="1"/>
        <rFont val="ＭＳ Ｐゴシック"/>
        <family val="3"/>
        <charset val="128"/>
      </rPr>
      <t>O］
【一酸化二窒素由来】</t>
    </r>
  </si>
  <si>
    <r>
      <rPr>
        <b/>
        <sz val="11"/>
        <color theme="1"/>
        <rFont val="ＭＳ Ｐゴシック"/>
        <family val="3"/>
        <charset val="128"/>
      </rPr>
      <t>GHG排出量［t-CO</t>
    </r>
    <r>
      <rPr>
        <b/>
        <vertAlign val="subscript"/>
        <sz val="11"/>
        <color theme="1"/>
        <rFont val="ＭＳ Ｐゴシック"/>
        <family val="3"/>
        <charset val="128"/>
      </rPr>
      <t>2</t>
    </r>
    <r>
      <rPr>
        <b/>
        <sz val="11"/>
        <color theme="1"/>
        <rFont val="ＭＳ Ｐゴシック"/>
        <family val="3"/>
        <charset val="128"/>
      </rPr>
      <t>］
【合計】</t>
    </r>
  </si>
  <si>
    <t>下水+下水</t>
  </si>
  <si>
    <t>T-N</t>
  </si>
  <si>
    <t>濃度
（mg/L)</t>
  </si>
  <si>
    <r>
      <rPr>
        <sz val="11"/>
        <color theme="1"/>
        <rFont val="ＭＳ Ｐゴシック"/>
        <family val="3"/>
        <charset val="128"/>
      </rPr>
      <t>水量
（m</t>
    </r>
    <r>
      <rPr>
        <vertAlign val="superscript"/>
        <sz val="11"/>
        <color theme="1"/>
        <rFont val="ＭＳ Ｐゴシック"/>
        <family val="3"/>
        <charset val="128"/>
      </rPr>
      <t>3</t>
    </r>
    <r>
      <rPr>
        <sz val="11"/>
        <color theme="1"/>
        <rFont val="ＭＳ Ｐゴシック"/>
        <family val="3"/>
        <charset val="128"/>
      </rPr>
      <t>/日）</t>
    </r>
  </si>
  <si>
    <t>負荷量
（kg/日）</t>
  </si>
  <si>
    <t>処理場流入水量（集約前）</t>
  </si>
  <si>
    <t>容量計算書より</t>
  </si>
  <si>
    <t>　反応槽流入水量（集約前）①</t>
  </si>
  <si>
    <t>　　返流水（集約前）</t>
  </si>
  <si>
    <t>　　集約汚泥由来返流水</t>
  </si>
  <si>
    <t>　　返流水（集約後）</t>
  </si>
  <si>
    <t>　反応槽流入水量（集約後）②</t>
  </si>
  <si>
    <t>増加量（②-①）</t>
  </si>
  <si>
    <t xml:space="preserve">増加送風量：ΔQ </t>
  </si>
  <si>
    <t>=2.46　×　（　0.6　×</t>
  </si>
  <si>
    <t>＋4.57×</t>
  </si>
  <si>
    <t>）×10＾-2</t>
  </si>
  <si>
    <t>ｍ3/分</t>
  </si>
  <si>
    <r>
      <rPr>
        <sz val="10"/>
        <rFont val="ＭＳ Ｐゴシック"/>
        <family val="3"/>
        <charset val="128"/>
      </rPr>
      <t>増加送風機動力：ΔL</t>
    </r>
    <r>
      <rPr>
        <vertAlign val="subscript"/>
        <sz val="10"/>
        <rFont val="ＭＳ Ｐゴシック"/>
        <family val="3"/>
        <charset val="128"/>
      </rPr>
      <t>S</t>
    </r>
    <r>
      <rPr>
        <sz val="10"/>
        <rFont val="ＭＳ Ｐゴシック"/>
        <family val="3"/>
        <charset val="128"/>
      </rPr>
      <t xml:space="preserve"> </t>
    </r>
  </si>
  <si>
    <t>=2.83　×　（　0.6　×</t>
  </si>
  <si>
    <t>kw</t>
  </si>
  <si>
    <t>下水+下水（再編ケース）</t>
  </si>
  <si>
    <t>現状の汚泥処理量（事業計画書の容量計算書で確認）</t>
  </si>
  <si>
    <t>判定</t>
  </si>
  <si>
    <t>施設能力</t>
  </si>
  <si>
    <t>汚水量由来</t>
  </si>
  <si>
    <t>機器仕様</t>
  </si>
  <si>
    <t>投入条件
TS［％］</t>
  </si>
  <si>
    <r>
      <rPr>
        <sz val="9"/>
        <color theme="1"/>
        <rFont val="ＭＳ Ｐゴシック"/>
        <family val="3"/>
        <charset val="128"/>
      </rPr>
      <t xml:space="preserve">Ａ
水量比
</t>
    </r>
    <r>
      <rPr>
        <vertAlign val="superscript"/>
        <sz val="9"/>
        <color theme="1"/>
        <rFont val="ＭＳ Ｐゴシック"/>
        <family val="3"/>
        <charset val="128"/>
      </rPr>
      <t>※1</t>
    </r>
  </si>
  <si>
    <r>
      <rPr>
        <sz val="9"/>
        <color theme="1"/>
        <rFont val="ＭＳ Ｐゴシック"/>
        <family val="3"/>
        <charset val="128"/>
      </rPr>
      <t>Ｂ
施設能力
［m</t>
    </r>
    <r>
      <rPr>
        <vertAlign val="superscript"/>
        <sz val="9"/>
        <color theme="1"/>
        <rFont val="ＭＳ Ｐゴシック"/>
        <family val="3"/>
        <charset val="128"/>
      </rPr>
      <t>3</t>
    </r>
    <r>
      <rPr>
        <sz val="9"/>
        <color theme="1"/>
        <rFont val="ＭＳ Ｐゴシック"/>
        <family val="3"/>
        <charset val="128"/>
      </rPr>
      <t>/日］</t>
    </r>
    <r>
      <rPr>
        <vertAlign val="superscript"/>
        <sz val="9"/>
        <color theme="1"/>
        <rFont val="ＭＳ Ｐゴシック"/>
        <family val="3"/>
        <charset val="128"/>
      </rPr>
      <t>※2</t>
    </r>
  </si>
  <si>
    <r>
      <rPr>
        <sz val="9"/>
        <color theme="1"/>
        <rFont val="ＭＳ Ｐゴシック"/>
        <family val="3"/>
        <charset val="128"/>
      </rPr>
      <t>Ｃ
汚泥処理量①
［m</t>
    </r>
    <r>
      <rPr>
        <vertAlign val="superscript"/>
        <sz val="9"/>
        <color theme="1"/>
        <rFont val="ＭＳ Ｐゴシック"/>
        <family val="3"/>
        <charset val="128"/>
      </rPr>
      <t>3</t>
    </r>
    <r>
      <rPr>
        <sz val="9"/>
        <color theme="1"/>
        <rFont val="ＭＳ Ｐゴシック"/>
        <family val="3"/>
        <charset val="128"/>
      </rPr>
      <t>/日］
日最大ベース</t>
    </r>
  </si>
  <si>
    <t>汚泥</t>
  </si>
  <si>
    <t>重力濃縮</t>
  </si>
  <si>
    <t>○</t>
  </si>
  <si>
    <t>m3/時（2台）</t>
  </si>
  <si>
    <t>脱水機</t>
  </si>
  <si>
    <t>水処理系（日最大水量）</t>
  </si>
  <si>
    <t>※1容量計算書における、水処理系の流入水量に対する各処理工程の投入汚泥量の比</t>
  </si>
  <si>
    <r>
      <rPr>
        <sz val="9"/>
        <color theme="1"/>
        <rFont val="ＭＳ Ｐゴシック"/>
        <family val="3"/>
        <charset val="128"/>
      </rPr>
      <t>※2汚泥処理量もm</t>
    </r>
    <r>
      <rPr>
        <vertAlign val="superscript"/>
        <sz val="9"/>
        <color theme="1"/>
        <rFont val="ＭＳ Ｐゴシック"/>
        <family val="3"/>
        <charset val="128"/>
      </rPr>
      <t>3</t>
    </r>
    <r>
      <rPr>
        <sz val="9"/>
        <color theme="1"/>
        <rFont val="ＭＳ Ｐゴシック"/>
        <family val="3"/>
        <charset val="128"/>
      </rPr>
      <t>/日換算して計上</t>
    </r>
  </si>
  <si>
    <t>維持管理費費
原単位</t>
    <rPh sb="5" eb="6">
      <t>ヒ</t>
    </rPh>
    <phoneticPr fontId="30"/>
  </si>
  <si>
    <t>統合時の
汚泥処理量</t>
    <phoneticPr fontId="30"/>
  </si>
  <si>
    <t>C≦Ｂ</t>
    <phoneticPr fontId="30"/>
  </si>
  <si>
    <r>
      <rPr>
        <sz val="11"/>
        <color theme="1"/>
        <rFont val="ＭＳ Ｐゴシック"/>
        <family val="3"/>
        <charset val="128"/>
      </rPr>
      <t>：「②処理水量（日平均）」×365日×「④維持管理係数の比」×「維持管理原単位」（維持管理原単位は更新前はA処理場が75円/ｍ</t>
    </r>
    <r>
      <rPr>
        <vertAlign val="superscript"/>
        <sz val="11"/>
        <color theme="1"/>
        <rFont val="ＭＳ Ｐゴシック"/>
        <family val="3"/>
        <charset val="128"/>
      </rPr>
      <t>3</t>
    </r>
    <r>
      <rPr>
        <sz val="11"/>
        <color theme="1"/>
        <rFont val="ＭＳ Ｐゴシック"/>
        <family val="3"/>
        <charset val="128"/>
      </rPr>
      <t>、B処理場が85円/m</t>
    </r>
    <r>
      <rPr>
        <vertAlign val="superscript"/>
        <sz val="11"/>
        <color theme="1"/>
        <rFont val="ＭＳ Ｐゴシック"/>
        <family val="3"/>
        <charset val="128"/>
      </rPr>
      <t>3</t>
    </r>
    <r>
      <rPr>
        <sz val="11"/>
        <color theme="1"/>
        <rFont val="ＭＳ Ｐゴシック"/>
        <family val="3"/>
        <charset val="128"/>
      </rPr>
      <t>、更新後はA処理場が48円/ｍ</t>
    </r>
    <r>
      <rPr>
        <vertAlign val="superscript"/>
        <sz val="11"/>
        <color theme="1"/>
        <rFont val="ＭＳ Ｐゴシック"/>
        <family val="3"/>
        <charset val="128"/>
      </rPr>
      <t>3</t>
    </r>
    <r>
      <rPr>
        <sz val="11"/>
        <color theme="1"/>
        <rFont val="ＭＳ Ｐゴシック"/>
        <family val="3"/>
        <charset val="128"/>
      </rPr>
      <t>、B処理場が76円/m</t>
    </r>
    <r>
      <rPr>
        <vertAlign val="superscript"/>
        <sz val="11"/>
        <color theme="1"/>
        <rFont val="ＭＳ Ｐゴシック"/>
        <family val="3"/>
        <charset val="128"/>
      </rPr>
      <t>3</t>
    </r>
    <r>
      <rPr>
        <sz val="11"/>
        <color theme="1"/>
        <rFont val="ＭＳ Ｐゴシック"/>
        <family val="3"/>
        <charset val="128"/>
      </rPr>
      <t>）</t>
    </r>
    <phoneticPr fontId="30"/>
  </si>
  <si>
    <r>
      <t>：（A下水処理場）ｙ＝（72,734×（「①処理能力」）＾0.</t>
    </r>
    <r>
      <rPr>
        <sz val="11"/>
        <rFont val="ＭＳ Ｐゴシック"/>
        <family val="3"/>
        <charset val="128"/>
        <scheme val="minor"/>
      </rPr>
      <t>26</t>
    </r>
    <r>
      <rPr>
        <sz val="11"/>
        <rFont val="ＭＳ Ｐゴシック"/>
        <family val="3"/>
        <charset val="128"/>
        <scheme val="minor"/>
      </rPr>
      <t>）/1000*(1+23.8/33.4)、（B下水処理場）ｙ＝（1,380,000×（「①処理能力」/1000）＾0.26×（103.3/101.5））/1000×66.2％（費用関数で機電の占める割合）</t>
    </r>
    <phoneticPr fontId="30"/>
  </si>
  <si>
    <r>
      <rPr>
        <sz val="11"/>
        <color theme="1"/>
        <rFont val="ＭＳ Ｐゴシック"/>
        <family val="3"/>
        <charset val="128"/>
      </rPr>
      <t>：「②処理水量（日平均）」×365日×「④維持管理係数の比」×「維持管理原単位」（維持管理原単位は更新前はA処理場が75円/ｍ</t>
    </r>
    <r>
      <rPr>
        <vertAlign val="superscript"/>
        <sz val="11"/>
        <color theme="1"/>
        <rFont val="ＭＳ Ｐゴシック"/>
        <family val="3"/>
        <charset val="128"/>
      </rPr>
      <t>3</t>
    </r>
    <r>
      <rPr>
        <sz val="11"/>
        <color theme="1"/>
        <rFont val="ＭＳ Ｐゴシック"/>
        <family val="3"/>
        <charset val="128"/>
      </rPr>
      <t>、B処理場が85円/m</t>
    </r>
    <r>
      <rPr>
        <vertAlign val="superscript"/>
        <sz val="11"/>
        <color theme="1"/>
        <rFont val="ＭＳ Ｐゴシック"/>
        <family val="3"/>
        <charset val="128"/>
      </rPr>
      <t>3</t>
    </r>
    <r>
      <rPr>
        <sz val="11"/>
        <color theme="1"/>
        <rFont val="ＭＳ Ｐゴシック"/>
        <family val="3"/>
        <charset val="128"/>
      </rPr>
      <t>、更新後はA処理場が38円/ｍ</t>
    </r>
    <r>
      <rPr>
        <vertAlign val="superscript"/>
        <sz val="11"/>
        <color theme="1"/>
        <rFont val="ＭＳ Ｐゴシック"/>
        <family val="3"/>
        <charset val="128"/>
      </rPr>
      <t>3</t>
    </r>
    <r>
      <rPr>
        <sz val="11"/>
        <color theme="1"/>
        <rFont val="ＭＳ Ｐゴシック"/>
        <family val="3"/>
        <charset val="128"/>
      </rPr>
      <t>、B処理場が76円/m</t>
    </r>
    <r>
      <rPr>
        <vertAlign val="superscript"/>
        <sz val="11"/>
        <color theme="1"/>
        <rFont val="ＭＳ Ｐゴシック"/>
        <family val="3"/>
        <charset val="128"/>
      </rPr>
      <t>3</t>
    </r>
    <r>
      <rPr>
        <sz val="11"/>
        <color theme="1"/>
        <rFont val="ＭＳ Ｐゴシック"/>
        <family val="3"/>
        <charset val="128"/>
      </rPr>
      <t>）</t>
    </r>
    <phoneticPr fontId="30"/>
  </si>
  <si>
    <r>
      <t>：（A下水処理場）ｙ＝（72,734×（「①処理能力」）＾0.</t>
    </r>
    <r>
      <rPr>
        <sz val="11"/>
        <rFont val="ＭＳ Ｐゴシック"/>
        <family val="3"/>
        <charset val="128"/>
        <scheme val="minor"/>
      </rPr>
      <t>26</t>
    </r>
    <r>
      <rPr>
        <sz val="11"/>
        <rFont val="ＭＳ Ｐゴシック"/>
        <family val="3"/>
        <charset val="128"/>
        <scheme val="minor"/>
      </rPr>
      <t>）/1000*(1+23.8/33.4)</t>
    </r>
    <phoneticPr fontId="30"/>
  </si>
  <si>
    <r>
      <t>：「⑤維持管理費」+「⑥機電更新費」</t>
    </r>
    <r>
      <rPr>
        <sz val="11"/>
        <color theme="1"/>
        <rFont val="ＭＳ Ｐゴシック"/>
        <family val="3"/>
        <charset val="128"/>
        <scheme val="minor"/>
      </rPr>
      <t>+</t>
    </r>
    <r>
      <rPr>
        <sz val="11"/>
        <color theme="1"/>
        <rFont val="ＭＳ Ｐゴシック"/>
        <family val="3"/>
        <charset val="128"/>
        <scheme val="minor"/>
      </rPr>
      <t>「</t>
    </r>
    <r>
      <rPr>
        <sz val="11"/>
        <color theme="1"/>
        <rFont val="ＭＳ Ｐゴシック"/>
        <family val="3"/>
        <charset val="128"/>
        <scheme val="minor"/>
      </rPr>
      <t>⑦</t>
    </r>
    <r>
      <rPr>
        <sz val="11"/>
        <color theme="1"/>
        <rFont val="ＭＳ Ｐゴシック"/>
        <family val="3"/>
        <charset val="128"/>
        <scheme val="minor"/>
      </rPr>
      <t>接続事業費」</t>
    </r>
    <rPh sb="21" eb="23">
      <t>セツゾク</t>
    </rPh>
    <rPh sb="23" eb="25">
      <t>ジギョウ</t>
    </rPh>
    <phoneticPr fontId="30"/>
  </si>
  <si>
    <r>
      <t xml:space="preserve"> </t>
    </r>
    <r>
      <rPr>
        <sz val="11"/>
        <color theme="1"/>
        <rFont val="ＭＳ Ｐゴシック"/>
        <family val="3"/>
        <charset val="128"/>
        <scheme val="minor"/>
      </rPr>
      <t xml:space="preserve">       </t>
    </r>
    <phoneticPr fontId="30"/>
  </si>
  <si>
    <t>流入水量</t>
    <rPh sb="3" eb="4">
      <t>リョウ</t>
    </rPh>
    <phoneticPr fontId="30"/>
  </si>
  <si>
    <t>耐用年数</t>
  </si>
  <si>
    <t>更新時期</t>
  </si>
  <si>
    <t>25年</t>
  </si>
  <si>
    <t>12年目</t>
  </si>
  <si>
    <t>6年目</t>
  </si>
  <si>
    <t>A下水処理場維持管理費</t>
  </si>
  <si>
    <t>B下水処理場維持管理費</t>
  </si>
  <si>
    <t>A下水処理場更新費</t>
  </si>
  <si>
    <t>B下水処理場更新費</t>
  </si>
  <si>
    <t>累計事業費</t>
  </si>
  <si>
    <t>A下水処理場維持管理費</t>
    <rPh sb="1" eb="3">
      <t>ゲスイ</t>
    </rPh>
    <rPh sb="3" eb="5">
      <t>ショリ</t>
    </rPh>
    <rPh sb="5" eb="6">
      <t>ジョウ</t>
    </rPh>
    <rPh sb="6" eb="8">
      <t>イジ</t>
    </rPh>
    <rPh sb="8" eb="10">
      <t>カンリ</t>
    </rPh>
    <rPh sb="10" eb="11">
      <t>ヒ</t>
    </rPh>
    <phoneticPr fontId="30"/>
  </si>
  <si>
    <t>B下水処理場維持管理費</t>
    <rPh sb="1" eb="3">
      <t>ゲスイ</t>
    </rPh>
    <rPh sb="3" eb="5">
      <t>ショリ</t>
    </rPh>
    <rPh sb="5" eb="6">
      <t>ジョウ</t>
    </rPh>
    <rPh sb="6" eb="8">
      <t>イジ</t>
    </rPh>
    <rPh sb="8" eb="10">
      <t>カンリ</t>
    </rPh>
    <rPh sb="10" eb="11">
      <t>ヒ</t>
    </rPh>
    <phoneticPr fontId="30"/>
  </si>
  <si>
    <t>A下水処理場更新費</t>
    <rPh sb="1" eb="3">
      <t>ゲスイ</t>
    </rPh>
    <rPh sb="3" eb="5">
      <t>ショリ</t>
    </rPh>
    <rPh sb="5" eb="6">
      <t>ジョウ</t>
    </rPh>
    <rPh sb="6" eb="8">
      <t>コウシン</t>
    </rPh>
    <rPh sb="8" eb="9">
      <t>ヒ</t>
    </rPh>
    <phoneticPr fontId="30"/>
  </si>
  <si>
    <t>B下水処理場更新費</t>
    <rPh sb="1" eb="3">
      <t>ゲスイ</t>
    </rPh>
    <rPh sb="3" eb="5">
      <t>ショリ</t>
    </rPh>
    <rPh sb="5" eb="6">
      <t>ジョウ</t>
    </rPh>
    <rPh sb="6" eb="8">
      <t>コウシン</t>
    </rPh>
    <rPh sb="8" eb="9">
      <t>ヒ</t>
    </rPh>
    <phoneticPr fontId="30"/>
  </si>
  <si>
    <t>累計事業費</t>
    <rPh sb="0" eb="2">
      <t>ルイケイ</t>
    </rPh>
    <rPh sb="2" eb="5">
      <t>ジギョウヒ</t>
    </rPh>
    <phoneticPr fontId="30"/>
  </si>
  <si>
    <t>接続事業実施費</t>
  </si>
  <si>
    <t>接続維持管理費</t>
  </si>
  <si>
    <t>単位：mg/L</t>
    <rPh sb="0" eb="2">
      <t>タンイ</t>
    </rPh>
    <phoneticPr fontId="32"/>
  </si>
  <si>
    <t>項目</t>
    <rPh sb="0" eb="2">
      <t>コウモク</t>
    </rPh>
    <phoneticPr fontId="32"/>
  </si>
  <si>
    <t>濃度</t>
    <rPh sb="0" eb="2">
      <t>ノウド</t>
    </rPh>
    <phoneticPr fontId="32"/>
  </si>
  <si>
    <t>備考</t>
    <rPh sb="0" eb="2">
      <t>ビコウ</t>
    </rPh>
    <phoneticPr fontId="32"/>
  </si>
  <si>
    <t>ＢＯＤ</t>
    <phoneticPr fontId="32"/>
  </si>
  <si>
    <t>全体計画より</t>
    <rPh sb="0" eb="2">
      <t>ゼンタイ</t>
    </rPh>
    <rPh sb="2" eb="4">
      <t>ケイカク</t>
    </rPh>
    <phoneticPr fontId="32"/>
  </si>
  <si>
    <t>ＣＯＤ</t>
    <phoneticPr fontId="32"/>
  </si>
  <si>
    <t>-</t>
    <phoneticPr fontId="32"/>
  </si>
  <si>
    <t>未設定</t>
    <rPh sb="0" eb="3">
      <t>ミセッテイ</t>
    </rPh>
    <phoneticPr fontId="32"/>
  </si>
  <si>
    <t>ＳＳ</t>
    <phoneticPr fontId="32"/>
  </si>
  <si>
    <t>Ｔ-Ｎ</t>
    <phoneticPr fontId="32"/>
  </si>
  <si>
    <t>NH4-N</t>
    <phoneticPr fontId="32"/>
  </si>
  <si>
    <t>Ｔ-Ｐ</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</si>
</sst>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0.0"/>
    <numFmt numFmtId="177" formatCode="#,##0.0;[Red]\-#,##0.0"/>
    <numFmt numFmtId="178" formatCode="0.000"/>
    <numFmt numFmtId="179" formatCode="#,##0_);[Red]\(#,##0\)"/>
    <numFmt numFmtId="180" formatCode="_ * #,##0_ ;_ * \-#,##0_ ;_ * &quot;-&quot;??_ ;_ @_ "/>
    <numFmt numFmtId="181" formatCode="0.00_ "/>
    <numFmt numFmtId="182" formatCode="0_ "/>
  </numFmts>
  <fonts count="33" x14ac:knownFonts="1">
    <font>
      <sz val="11"/>
      <color theme="1"/>
      <name val="ＭＳ Ｐゴシック"/>
      <charset val="128"/>
      <scheme val="minor"/>
    </font>
    <font>
      <sz val="9"/>
      <color theme="1"/>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9"/>
      <color theme="1"/>
      <name val="ＭＳ Ｐゴシック"/>
      <family val="3"/>
      <charset val="128"/>
      <scheme val="minor"/>
    </font>
    <font>
      <b/>
      <sz val="11"/>
      <color theme="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6"/>
      <color theme="1"/>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
      <sz val="11"/>
      <color theme="2" tint="-0.249977111117893"/>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vertAlign val="superscript"/>
      <sz val="11"/>
      <color theme="1"/>
      <name val="ＭＳ Ｐゴシック"/>
      <family val="3"/>
      <charset val="128"/>
    </font>
    <font>
      <sz val="10"/>
      <color theme="1"/>
      <name val="ＭＳ Ｐゴシック"/>
      <family val="3"/>
      <charset val="128"/>
    </font>
    <font>
      <vertAlign val="subscript"/>
      <sz val="11"/>
      <color theme="1"/>
      <name val="ＭＳ Ｐゴシック"/>
      <family val="3"/>
      <charset val="128"/>
    </font>
    <font>
      <b/>
      <sz val="11"/>
      <color theme="1"/>
      <name val="ＭＳ Ｐゴシック"/>
      <family val="3"/>
      <charset val="128"/>
    </font>
    <font>
      <b/>
      <vertAlign val="subscript"/>
      <sz val="11"/>
      <color theme="1"/>
      <name val="ＭＳ Ｐゴシック"/>
      <family val="3"/>
      <charset val="128"/>
    </font>
    <font>
      <sz val="10"/>
      <name val="ＭＳ Ｐゴシック"/>
      <family val="3"/>
      <charset val="128"/>
    </font>
    <font>
      <vertAlign val="subscript"/>
      <sz val="10"/>
      <name val="ＭＳ Ｐゴシック"/>
      <family val="3"/>
      <charset val="128"/>
    </font>
    <font>
      <sz val="9"/>
      <color theme="1"/>
      <name val="ＭＳ Ｐゴシック"/>
      <family val="3"/>
      <charset val="128"/>
    </font>
    <font>
      <vertAlign val="superscript"/>
      <sz val="9"/>
      <color theme="1"/>
      <name val="ＭＳ Ｐゴシック"/>
      <family val="3"/>
      <charset val="128"/>
    </font>
    <font>
      <sz val="6"/>
      <name val="ＭＳ Ｐゴシック"/>
      <family val="3"/>
      <charset val="128"/>
      <scheme val="minor"/>
    </font>
    <font>
      <b/>
      <sz val="11"/>
      <name val="ＭＳ Ｐゴシック"/>
      <family val="3"/>
      <charset val="128"/>
      <scheme val="minor"/>
    </font>
    <font>
      <sz val="6"/>
      <name val="ＭＳ Ｐゴシック"/>
      <family val="2"/>
      <charset val="128"/>
      <scheme val="minor"/>
    </font>
  </fonts>
  <fills count="12">
    <fill>
      <patternFill patternType="none"/>
    </fill>
    <fill>
      <patternFill patternType="gray125"/>
    </fill>
    <fill>
      <patternFill patternType="solid">
        <fgColor theme="5"/>
        <bgColor indexed="64"/>
      </patternFill>
    </fill>
    <fill>
      <patternFill patternType="solid">
        <fgColor theme="0" tint="-0.14996795556505021"/>
        <bgColor indexed="64"/>
      </patternFill>
    </fill>
    <fill>
      <patternFill patternType="solid">
        <fgColor theme="9"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5" tint="0.79995117038483843"/>
        <bgColor indexed="64"/>
      </patternFill>
    </fill>
    <fill>
      <patternFill patternType="solid">
        <fgColor theme="0" tint="-0.249977111117893"/>
        <bgColor indexed="64"/>
      </patternFill>
    </fill>
    <fill>
      <patternFill patternType="solid">
        <fgColor theme="2" tint="-0.249977111117893"/>
        <bgColor indexed="64"/>
      </patternFill>
    </fill>
  </fills>
  <borders count="35">
    <border>
      <left/>
      <right/>
      <top/>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thin">
        <color auto="1"/>
      </top>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medium">
        <color auto="1"/>
      </right>
      <top style="thin">
        <color auto="1"/>
      </top>
      <bottom style="thin">
        <color auto="1"/>
      </bottom>
      <diagonal/>
    </border>
    <border>
      <left/>
      <right/>
      <top style="thin">
        <color auto="1"/>
      </top>
      <bottom style="double">
        <color auto="1"/>
      </bottom>
      <diagonal/>
    </border>
    <border>
      <left style="medium">
        <color auto="1"/>
      </left>
      <right style="medium">
        <color auto="1"/>
      </right>
      <top style="thin">
        <color auto="1"/>
      </top>
      <bottom style="double">
        <color auto="1"/>
      </bottom>
      <diagonal/>
    </border>
    <border>
      <left/>
      <right style="thin">
        <color auto="1"/>
      </right>
      <top/>
      <bottom style="double">
        <color auto="1"/>
      </bottom>
      <diagonal/>
    </border>
    <border>
      <left/>
      <right style="thin">
        <color auto="1"/>
      </right>
      <top style="double">
        <color auto="1"/>
      </top>
      <bottom style="thin">
        <color auto="1"/>
      </bottom>
      <diagonal/>
    </border>
    <border>
      <left/>
      <right/>
      <top/>
      <bottom style="thin">
        <color auto="1"/>
      </bottom>
      <diagonal/>
    </border>
    <border>
      <left style="medium">
        <color auto="1"/>
      </left>
      <right style="medium">
        <color auto="1"/>
      </right>
      <top/>
      <bottom style="medium">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double">
        <color auto="1"/>
      </top>
      <bottom style="thin">
        <color auto="1"/>
      </bottom>
      <diagonal/>
    </border>
    <border diagonalDown="1">
      <left style="thin">
        <color auto="1"/>
      </left>
      <right/>
      <top style="thin">
        <color auto="1"/>
      </top>
      <bottom style="double">
        <color auto="1"/>
      </bottom>
      <diagonal style="thin">
        <color auto="1"/>
      </diagonal>
    </border>
  </borders>
  <cellStyleXfs count="4">
    <xf numFmtId="0" fontId="0" fillId="0" borderId="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xf numFmtId="0" fontId="18" fillId="0" borderId="0">
      <alignment vertical="center"/>
    </xf>
  </cellStyleXfs>
  <cellXfs count="328">
    <xf numFmtId="0" fontId="0" fillId="0" borderId="0" xfId="0">
      <alignment vertical="center"/>
    </xf>
    <xf numFmtId="0" fontId="0" fillId="0" borderId="1" xfId="0" applyBorder="1" applyAlignment="1">
      <alignment horizontal="center" vertical="center"/>
    </xf>
    <xf numFmtId="38" fontId="0" fillId="0" borderId="1" xfId="1"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3" xfId="0" applyFill="1" applyBorder="1">
      <alignment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left" vertical="center"/>
    </xf>
    <xf numFmtId="0" fontId="0" fillId="0" borderId="0" xfId="0" applyAlignment="1">
      <alignment horizontal="right" vertical="center"/>
    </xf>
    <xf numFmtId="0" fontId="0" fillId="0" borderId="3" xfId="0"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wrapText="1"/>
    </xf>
    <xf numFmtId="0" fontId="0" fillId="2" borderId="0" xfId="0" applyFill="1">
      <alignment vertical="center"/>
    </xf>
    <xf numFmtId="0" fontId="2" fillId="2" borderId="0" xfId="0" applyFont="1" applyFill="1">
      <alignment vertical="center"/>
    </xf>
    <xf numFmtId="38" fontId="0" fillId="0" borderId="2" xfId="1" applyFont="1" applyBorder="1">
      <alignment vertical="center"/>
    </xf>
    <xf numFmtId="38" fontId="0" fillId="0" borderId="3" xfId="1" applyFont="1" applyBorder="1">
      <alignment vertical="center"/>
    </xf>
    <xf numFmtId="0" fontId="3" fillId="0" borderId="0" xfId="0" applyFont="1" applyAlignment="1">
      <alignment vertical="center" wrapText="1"/>
    </xf>
    <xf numFmtId="0" fontId="4" fillId="0" borderId="0" xfId="0" applyFont="1">
      <alignment vertical="center"/>
    </xf>
    <xf numFmtId="0" fontId="0" fillId="0" borderId="0" xfId="0" applyAlignment="1">
      <alignment vertical="center" wrapText="1"/>
    </xf>
    <xf numFmtId="2" fontId="0" fillId="0" borderId="3" xfId="0" applyNumberFormat="1" applyBorder="1">
      <alignment vertical="center"/>
    </xf>
    <xf numFmtId="2" fontId="0" fillId="0" borderId="3" xfId="1" applyNumberFormat="1" applyFont="1" applyFill="1" applyBorder="1">
      <alignment vertical="center"/>
    </xf>
    <xf numFmtId="38" fontId="0" fillId="0" borderId="3" xfId="1" applyFont="1" applyBorder="1" applyAlignment="1">
      <alignment vertical="center" shrinkToFit="1"/>
    </xf>
    <xf numFmtId="38" fontId="0" fillId="0" borderId="3" xfId="1" applyFont="1" applyBorder="1" applyAlignment="1">
      <alignment horizontal="center" vertical="center"/>
    </xf>
    <xf numFmtId="38" fontId="0" fillId="0" borderId="3" xfId="0" applyNumberFormat="1" applyBorder="1">
      <alignment vertical="center"/>
    </xf>
    <xf numFmtId="9" fontId="0" fillId="0" borderId="3" xfId="2" applyFont="1" applyBorder="1">
      <alignment vertical="center"/>
    </xf>
    <xf numFmtId="38" fontId="3" fillId="0" borderId="3" xfId="0" applyNumberFormat="1" applyFont="1" applyBorder="1">
      <alignment vertical="center"/>
    </xf>
    <xf numFmtId="38" fontId="0" fillId="2" borderId="3" xfId="1" applyFont="1" applyFill="1" applyBorder="1">
      <alignment vertical="center"/>
    </xf>
    <xf numFmtId="0" fontId="5" fillId="0" borderId="0" xfId="0" applyFont="1" applyAlignment="1">
      <alignment horizontal="right" vertical="center"/>
    </xf>
    <xf numFmtId="0" fontId="0" fillId="0" borderId="3" xfId="0" applyBorder="1" applyAlignment="1">
      <alignment vertical="center" wrapText="1"/>
    </xf>
    <xf numFmtId="9" fontId="3" fillId="0" borderId="3" xfId="2" applyFont="1" applyBorder="1">
      <alignment vertical="center"/>
    </xf>
    <xf numFmtId="38" fontId="4" fillId="0" borderId="3" xfId="1" applyFont="1" applyBorder="1">
      <alignment vertical="center"/>
    </xf>
    <xf numFmtId="0" fontId="4" fillId="0" borderId="3" xfId="0" applyFont="1" applyBorder="1">
      <alignment vertical="center"/>
    </xf>
    <xf numFmtId="176" fontId="0" fillId="0" borderId="3" xfId="0" applyNumberFormat="1" applyBorder="1">
      <alignment vertical="center"/>
    </xf>
    <xf numFmtId="38" fontId="4" fillId="0" borderId="3" xfId="0" applyNumberFormat="1" applyFont="1" applyBorder="1">
      <alignment vertical="center"/>
    </xf>
    <xf numFmtId="38" fontId="0" fillId="0" borderId="2" xfId="0" applyNumberFormat="1" applyBorder="1">
      <alignment vertical="center"/>
    </xf>
    <xf numFmtId="0" fontId="0" fillId="5" borderId="3" xfId="0" applyFill="1" applyBorder="1">
      <alignment vertical="center"/>
    </xf>
    <xf numFmtId="38" fontId="0" fillId="0" borderId="3" xfId="0" applyNumberFormat="1" applyFill="1" applyBorder="1">
      <alignment vertical="center"/>
    </xf>
    <xf numFmtId="38" fontId="0" fillId="4" borderId="3" xfId="1" applyFont="1" applyFill="1" applyBorder="1">
      <alignment vertical="center"/>
    </xf>
    <xf numFmtId="40" fontId="0" fillId="0" borderId="3" xfId="0" applyNumberFormat="1" applyBorder="1">
      <alignment vertical="center"/>
    </xf>
    <xf numFmtId="38" fontId="0" fillId="5" borderId="3" xfId="1" applyFont="1" applyFill="1" applyBorder="1">
      <alignment vertical="center"/>
    </xf>
    <xf numFmtId="0" fontId="0" fillId="0" borderId="3" xfId="0" applyBorder="1" applyAlignment="1">
      <alignment horizontal="left" vertical="center" wrapText="1"/>
    </xf>
    <xf numFmtId="182" fontId="0" fillId="0" borderId="7" xfId="0" applyNumberFormat="1" applyBorder="1">
      <alignment vertical="center"/>
    </xf>
    <xf numFmtId="182" fontId="0" fillId="0" borderId="2" xfId="0" applyNumberFormat="1" applyBorder="1">
      <alignment vertical="center"/>
    </xf>
    <xf numFmtId="181" fontId="0" fillId="0" borderId="3" xfId="0" applyNumberFormat="1" applyBorder="1">
      <alignment vertical="center"/>
    </xf>
    <xf numFmtId="38" fontId="0" fillId="0" borderId="3" xfId="1" applyFont="1" applyFill="1" applyBorder="1">
      <alignment vertical="center"/>
    </xf>
    <xf numFmtId="0" fontId="0" fillId="6" borderId="3" xfId="0" applyFill="1" applyBorder="1">
      <alignment vertical="center"/>
    </xf>
    <xf numFmtId="38" fontId="0" fillId="6" borderId="3" xfId="1" applyFont="1" applyFill="1" applyBorder="1">
      <alignment vertical="center"/>
    </xf>
    <xf numFmtId="38" fontId="3" fillId="4" borderId="3" xfId="1" applyFont="1" applyFill="1" applyBorder="1">
      <alignment vertical="center"/>
    </xf>
    <xf numFmtId="38" fontId="3" fillId="6" borderId="3" xfId="1" applyFont="1" applyFill="1" applyBorder="1">
      <alignment vertical="center"/>
    </xf>
    <xf numFmtId="0" fontId="7" fillId="0" borderId="3" xfId="0" applyFont="1" applyBorder="1" applyAlignment="1">
      <alignment horizontal="center" vertical="center" wrapText="1"/>
    </xf>
    <xf numFmtId="0" fontId="7" fillId="0" borderId="3" xfId="0" applyFont="1" applyBorder="1" applyAlignment="1">
      <alignment vertical="center" shrinkToFit="1"/>
    </xf>
    <xf numFmtId="10" fontId="7" fillId="0" borderId="3" xfId="2" applyNumberFormat="1" applyFont="1" applyBorder="1" applyAlignment="1">
      <alignment horizontal="right" vertical="center" shrinkToFit="1"/>
    </xf>
    <xf numFmtId="0" fontId="7" fillId="0" borderId="1" xfId="0" applyFont="1" applyBorder="1" applyAlignment="1">
      <alignment vertical="center" shrinkToFit="1"/>
    </xf>
    <xf numFmtId="41" fontId="7" fillId="0" borderId="9" xfId="0" applyNumberFormat="1" applyFont="1" applyBorder="1" applyAlignment="1">
      <alignment horizontal="right" vertical="center" shrinkToFit="1"/>
    </xf>
    <xf numFmtId="41" fontId="7" fillId="0" borderId="10" xfId="0" applyNumberFormat="1" applyFont="1" applyBorder="1" applyAlignment="1">
      <alignment horizontal="left" vertical="center" shrinkToFit="1"/>
    </xf>
    <xf numFmtId="10" fontId="7" fillId="0" borderId="1" xfId="2" applyNumberFormat="1" applyFont="1" applyBorder="1" applyAlignment="1">
      <alignment horizontal="right" vertical="center" shrinkToFit="1"/>
    </xf>
    <xf numFmtId="0" fontId="1" fillId="0" borderId="0" xfId="0" applyFont="1" applyFill="1" applyBorder="1">
      <alignment vertical="center"/>
    </xf>
    <xf numFmtId="0" fontId="0" fillId="0" borderId="0" xfId="0" applyFont="1" applyFill="1" applyBorder="1">
      <alignment vertical="center"/>
    </xf>
    <xf numFmtId="0" fontId="7" fillId="0" borderId="0" xfId="0" applyFont="1" applyFill="1" applyBorder="1">
      <alignment vertical="center"/>
    </xf>
    <xf numFmtId="41" fontId="0" fillId="0" borderId="0" xfId="0" applyNumberFormat="1" applyBorder="1" applyAlignment="1">
      <alignment horizontal="right" vertical="center" shrinkToFit="1"/>
    </xf>
    <xf numFmtId="41" fontId="0" fillId="0" borderId="0" xfId="0" applyNumberFormat="1" applyBorder="1" applyAlignment="1">
      <alignment horizontal="left" vertical="center" shrinkToFit="1"/>
    </xf>
    <xf numFmtId="10" fontId="0" fillId="0" borderId="0" xfId="2" applyNumberFormat="1" applyFont="1" applyBorder="1" applyAlignment="1">
      <alignment horizontal="right" vertical="center" shrinkToFit="1"/>
    </xf>
    <xf numFmtId="179" fontId="0" fillId="0" borderId="0" xfId="0" applyNumberFormat="1" applyBorder="1" applyAlignment="1">
      <alignment horizontal="right" vertical="center" shrinkToFit="1"/>
    </xf>
    <xf numFmtId="0" fontId="7" fillId="0" borderId="23" xfId="0" applyFont="1" applyBorder="1" applyAlignment="1">
      <alignment horizontal="center" vertical="center" shrinkToFit="1"/>
    </xf>
    <xf numFmtId="0" fontId="7" fillId="0" borderId="5" xfId="0" applyFont="1" applyBorder="1" applyAlignment="1">
      <alignment horizontal="center" vertical="center" wrapText="1"/>
    </xf>
    <xf numFmtId="0" fontId="7" fillId="0" borderId="25" xfId="0" applyFont="1" applyBorder="1" applyAlignment="1">
      <alignment horizontal="center" vertical="center" wrapText="1"/>
    </xf>
    <xf numFmtId="179" fontId="7" fillId="0" borderId="5" xfId="0" applyNumberFormat="1" applyFont="1" applyBorder="1" applyAlignment="1">
      <alignment horizontal="right" vertical="center" shrinkToFit="1"/>
    </xf>
    <xf numFmtId="180" fontId="7" fillId="0" borderId="25" xfId="0" applyNumberFormat="1" applyFont="1" applyFill="1" applyBorder="1" applyAlignment="1">
      <alignment vertical="center" shrinkToFit="1"/>
    </xf>
    <xf numFmtId="9" fontId="7" fillId="0" borderId="6" xfId="2" applyFont="1" applyFill="1" applyBorder="1" applyAlignment="1">
      <alignment horizontal="center" vertical="center" shrinkToFit="1"/>
    </xf>
    <xf numFmtId="10" fontId="7" fillId="0" borderId="18" xfId="2" applyNumberFormat="1" applyFont="1" applyBorder="1" applyAlignment="1">
      <alignment horizontal="right" vertical="center" shrinkToFit="1"/>
    </xf>
    <xf numFmtId="179" fontId="7" fillId="0" borderId="26" xfId="0" applyNumberFormat="1" applyFont="1" applyBorder="1" applyAlignment="1">
      <alignment horizontal="right" vertical="center" shrinkToFit="1"/>
    </xf>
    <xf numFmtId="180" fontId="7" fillId="0" borderId="27" xfId="0" applyNumberFormat="1" applyFont="1" applyFill="1" applyBorder="1" applyAlignment="1">
      <alignment vertical="center" shrinkToFit="1"/>
    </xf>
    <xf numFmtId="9" fontId="7" fillId="0" borderId="28" xfId="2" applyFont="1" applyFill="1" applyBorder="1" applyAlignment="1">
      <alignment horizontal="center" vertical="center" shrinkToFit="1"/>
    </xf>
    <xf numFmtId="179" fontId="7" fillId="0" borderId="30" xfId="0" applyNumberFormat="1" applyFont="1" applyBorder="1" applyAlignment="1">
      <alignment horizontal="right" vertical="center" shrinkToFit="1"/>
    </xf>
    <xf numFmtId="41" fontId="7" fillId="0" borderId="31" xfId="0" applyNumberFormat="1" applyFont="1" applyFill="1" applyBorder="1" applyAlignment="1">
      <alignment horizontal="right" vertical="center" shrinkToFit="1"/>
    </xf>
    <xf numFmtId="41" fontId="7" fillId="0" borderId="24" xfId="0" applyNumberFormat="1" applyFont="1" applyFill="1" applyBorder="1" applyAlignment="1">
      <alignment horizontal="center" vertical="center" shrinkToFit="1"/>
    </xf>
    <xf numFmtId="180" fontId="0" fillId="0" borderId="0" xfId="0" applyNumberFormat="1" applyBorder="1" applyAlignment="1">
      <alignment vertical="center" shrinkToFit="1"/>
    </xf>
    <xf numFmtId="9" fontId="0" fillId="0" borderId="0" xfId="2" applyFont="1" applyBorder="1" applyAlignment="1">
      <alignment horizontal="right" vertical="center" shrinkToFit="1"/>
    </xf>
    <xf numFmtId="0" fontId="0" fillId="0" borderId="3" xfId="0" applyFill="1" applyBorder="1" applyAlignment="1">
      <alignment vertical="center" wrapText="1"/>
    </xf>
    <xf numFmtId="38" fontId="0" fillId="0" borderId="4" xfId="1" applyFont="1" applyBorder="1">
      <alignment vertical="center"/>
    </xf>
    <xf numFmtId="38" fontId="0" fillId="0" borderId="4" xfId="1" applyFont="1" applyBorder="1" applyAlignment="1">
      <alignment vertical="center" wrapText="1"/>
    </xf>
    <xf numFmtId="38" fontId="10" fillId="0" borderId="4" xfId="1" applyFont="1" applyBorder="1" applyAlignment="1">
      <alignment horizontal="center" vertical="center"/>
    </xf>
    <xf numFmtId="38" fontId="10" fillId="0" borderId="3" xfId="1" applyFont="1" applyBorder="1">
      <alignment vertical="center"/>
    </xf>
    <xf numFmtId="38" fontId="10" fillId="0" borderId="3" xfId="1" applyFont="1" applyFill="1" applyBorder="1">
      <alignment vertical="center"/>
    </xf>
    <xf numFmtId="0" fontId="11" fillId="0" borderId="0" xfId="0" applyFont="1" applyAlignment="1">
      <alignment horizontal="right" vertical="center"/>
    </xf>
    <xf numFmtId="38" fontId="4" fillId="0" borderId="0" xfId="0" applyNumberFormat="1" applyFont="1" applyAlignment="1">
      <alignment horizontal="center" vertical="center"/>
    </xf>
    <xf numFmtId="0" fontId="8" fillId="0" borderId="6" xfId="0" applyFont="1" applyBorder="1">
      <alignment vertical="center"/>
    </xf>
    <xf numFmtId="0" fontId="12" fillId="0" borderId="6" xfId="0" applyFont="1" applyBorder="1">
      <alignment vertical="center"/>
    </xf>
    <xf numFmtId="0" fontId="13" fillId="0" borderId="6" xfId="0" applyFont="1" applyBorder="1">
      <alignment vertical="center"/>
    </xf>
    <xf numFmtId="176" fontId="0" fillId="0" borderId="0" xfId="0" applyNumberFormat="1">
      <alignment vertical="center"/>
    </xf>
    <xf numFmtId="0" fontId="0" fillId="0" borderId="0" xfId="0" applyFill="1">
      <alignment vertical="center"/>
    </xf>
    <xf numFmtId="38" fontId="0" fillId="0" borderId="0" xfId="1" applyFont="1">
      <alignment vertical="center"/>
    </xf>
    <xf numFmtId="38" fontId="0" fillId="0" borderId="32" xfId="1" applyFont="1" applyBorder="1">
      <alignment vertical="center"/>
    </xf>
    <xf numFmtId="2" fontId="8" fillId="0" borderId="3" xfId="0" applyNumberFormat="1" applyFont="1" applyBorder="1">
      <alignment vertical="center"/>
    </xf>
    <xf numFmtId="2" fontId="8" fillId="0" borderId="3" xfId="1" applyNumberFormat="1" applyFont="1" applyFill="1" applyBorder="1">
      <alignment vertical="center"/>
    </xf>
    <xf numFmtId="178" fontId="8" fillId="0" borderId="3" xfId="1" applyNumberFormat="1" applyFont="1" applyFill="1" applyBorder="1">
      <alignment vertical="center"/>
    </xf>
    <xf numFmtId="38" fontId="8" fillId="0" borderId="3" xfId="1" applyFont="1" applyBorder="1">
      <alignment vertical="center"/>
    </xf>
    <xf numFmtId="38" fontId="14" fillId="0" borderId="3" xfId="1" applyFont="1" applyBorder="1">
      <alignment vertical="center"/>
    </xf>
    <xf numFmtId="0" fontId="8" fillId="0" borderId="3" xfId="0" applyFont="1" applyBorder="1">
      <alignment vertical="center"/>
    </xf>
    <xf numFmtId="38" fontId="0" fillId="0" borderId="3" xfId="1" applyFont="1" applyFill="1" applyBorder="1" applyAlignment="1">
      <alignment horizontal="center" vertical="center"/>
    </xf>
    <xf numFmtId="38" fontId="0" fillId="7" borderId="3" xfId="1" applyFont="1" applyFill="1" applyBorder="1" applyAlignment="1">
      <alignment horizontal="center" vertical="center"/>
    </xf>
    <xf numFmtId="2" fontId="3" fillId="0" borderId="3" xfId="0" applyNumberFormat="1" applyFont="1" applyBorder="1">
      <alignment vertical="center"/>
    </xf>
    <xf numFmtId="2" fontId="3" fillId="7" borderId="3" xfId="0" applyNumberFormat="1" applyFont="1" applyFill="1" applyBorder="1">
      <alignment vertical="center"/>
    </xf>
    <xf numFmtId="38" fontId="15" fillId="0" borderId="3" xfId="1" applyNumberFormat="1" applyFont="1" applyBorder="1">
      <alignment vertical="center"/>
    </xf>
    <xf numFmtId="38" fontId="0" fillId="0" borderId="3" xfId="1" applyNumberFormat="1" applyFont="1" applyBorder="1">
      <alignment vertical="center"/>
    </xf>
    <xf numFmtId="38" fontId="0" fillId="7" borderId="3" xfId="1" applyNumberFormat="1" applyFont="1" applyFill="1" applyBorder="1">
      <alignment vertical="center"/>
    </xf>
    <xf numFmtId="182" fontId="0" fillId="0" borderId="2" xfId="0" applyNumberFormat="1" applyBorder="1" applyAlignment="1">
      <alignment vertical="center" wrapText="1"/>
    </xf>
    <xf numFmtId="38" fontId="3" fillId="7" borderId="3" xfId="1" applyNumberFormat="1" applyFont="1" applyFill="1" applyBorder="1">
      <alignment vertical="center"/>
    </xf>
    <xf numFmtId="38" fontId="3" fillId="0" borderId="3" xfId="1" applyNumberFormat="1" applyFont="1" applyBorder="1">
      <alignment vertical="center"/>
    </xf>
    <xf numFmtId="0" fontId="0" fillId="0" borderId="0" xfId="0" applyBorder="1">
      <alignment vertical="center"/>
    </xf>
    <xf numFmtId="0" fontId="0" fillId="0" borderId="0" xfId="0" applyFill="1" applyBorder="1" applyAlignment="1">
      <alignment horizontal="center" vertical="center"/>
    </xf>
    <xf numFmtId="38" fontId="0" fillId="0" borderId="0" xfId="1" applyFont="1" applyFill="1" applyBorder="1">
      <alignment vertical="center"/>
    </xf>
    <xf numFmtId="0" fontId="0" fillId="0" borderId="0" xfId="0" applyFill="1" applyBorder="1">
      <alignment vertical="center"/>
    </xf>
    <xf numFmtId="38" fontId="17" fillId="0" borderId="3" xfId="0" applyNumberFormat="1" applyFont="1" applyBorder="1">
      <alignment vertical="center"/>
    </xf>
    <xf numFmtId="2" fontId="4" fillId="0" borderId="3" xfId="0" applyNumberFormat="1" applyFont="1" applyBorder="1">
      <alignment vertical="center"/>
    </xf>
    <xf numFmtId="38" fontId="4" fillId="0" borderId="3" xfId="1" applyNumberFormat="1" applyFont="1" applyBorder="1">
      <alignment vertical="center"/>
    </xf>
    <xf numFmtId="0" fontId="4" fillId="7" borderId="3" xfId="0" applyFont="1" applyFill="1" applyBorder="1">
      <alignment vertical="center"/>
    </xf>
    <xf numFmtId="176" fontId="0" fillId="7" borderId="3" xfId="0" applyNumberFormat="1" applyFill="1" applyBorder="1">
      <alignment vertical="center"/>
    </xf>
    <xf numFmtId="2" fontId="4" fillId="7" borderId="3" xfId="0" applyNumberFormat="1" applyFont="1" applyFill="1" applyBorder="1">
      <alignment vertical="center"/>
    </xf>
    <xf numFmtId="38" fontId="4" fillId="7" borderId="3" xfId="1" applyNumberFormat="1" applyFont="1" applyFill="1" applyBorder="1">
      <alignment vertical="center"/>
    </xf>
    <xf numFmtId="0" fontId="12" fillId="0" borderId="3" xfId="0" applyFont="1" applyBorder="1" applyAlignment="1">
      <alignment horizontal="center" vertical="center" wrapText="1"/>
    </xf>
    <xf numFmtId="38" fontId="12" fillId="0" borderId="3" xfId="1" applyFont="1" applyBorder="1" applyAlignment="1">
      <alignment horizontal="center" vertical="center"/>
    </xf>
    <xf numFmtId="38" fontId="4" fillId="7" borderId="3" xfId="0" applyNumberFormat="1" applyFont="1" applyFill="1" applyBorder="1">
      <alignment vertical="center"/>
    </xf>
    <xf numFmtId="1" fontId="4" fillId="7" borderId="3" xfId="0" applyNumberFormat="1" applyFont="1" applyFill="1" applyBorder="1">
      <alignment vertical="center"/>
    </xf>
    <xf numFmtId="0" fontId="8" fillId="0" borderId="0" xfId="0" applyFont="1">
      <alignment vertical="center"/>
    </xf>
    <xf numFmtId="0" fontId="0" fillId="0" borderId="4" xfId="0" applyFill="1" applyBorder="1" applyAlignment="1">
      <alignment horizontal="center" vertical="center"/>
    </xf>
    <xf numFmtId="178" fontId="0" fillId="0" borderId="3" xfId="1" applyNumberFormat="1" applyFont="1" applyFill="1" applyBorder="1">
      <alignment vertical="center"/>
    </xf>
    <xf numFmtId="178" fontId="0" fillId="0" borderId="4" xfId="1" applyNumberFormat="1" applyFont="1" applyFill="1" applyBorder="1">
      <alignment vertical="center"/>
    </xf>
    <xf numFmtId="176" fontId="0" fillId="0" borderId="3" xfId="0" applyNumberFormat="1" applyFill="1" applyBorder="1">
      <alignment vertical="center"/>
    </xf>
    <xf numFmtId="0" fontId="0" fillId="0" borderId="1" xfId="0" applyBorder="1" applyAlignment="1">
      <alignment horizontal="right" vertical="center"/>
    </xf>
    <xf numFmtId="0" fontId="0" fillId="0" borderId="33" xfId="0" applyBorder="1">
      <alignment vertical="center"/>
    </xf>
    <xf numFmtId="38" fontId="0" fillId="0" borderId="33" xfId="1" applyFont="1" applyBorder="1">
      <alignment vertical="center"/>
    </xf>
    <xf numFmtId="38" fontId="0" fillId="0" borderId="2" xfId="1" applyFont="1" applyFill="1" applyBorder="1">
      <alignment vertical="center"/>
    </xf>
    <xf numFmtId="9" fontId="0" fillId="0" borderId="2" xfId="2" applyFont="1" applyBorder="1">
      <alignment vertical="center"/>
    </xf>
    <xf numFmtId="9" fontId="0" fillId="0" borderId="2" xfId="2" applyFont="1" applyFill="1" applyBorder="1">
      <alignment vertical="center"/>
    </xf>
    <xf numFmtId="0" fontId="0" fillId="0" borderId="7" xfId="0" applyBorder="1">
      <alignment vertical="center"/>
    </xf>
    <xf numFmtId="38" fontId="0" fillId="0" borderId="7" xfId="1" applyFont="1" applyBorder="1">
      <alignment vertical="center"/>
    </xf>
    <xf numFmtId="40" fontId="0" fillId="0" borderId="2" xfId="1" applyNumberFormat="1" applyFont="1" applyBorder="1">
      <alignment vertical="center"/>
    </xf>
    <xf numFmtId="40" fontId="0" fillId="0" borderId="2" xfId="1" applyNumberFormat="1" applyFont="1" applyFill="1" applyBorder="1">
      <alignment vertical="center"/>
    </xf>
    <xf numFmtId="40" fontId="0" fillId="0" borderId="8" xfId="1" applyNumberFormat="1" applyFont="1" applyBorder="1">
      <alignment vertical="center"/>
    </xf>
    <xf numFmtId="38" fontId="0" fillId="5" borderId="1" xfId="1" applyFont="1" applyFill="1" applyBorder="1">
      <alignment vertical="center"/>
    </xf>
    <xf numFmtId="38" fontId="0" fillId="4" borderId="2" xfId="1" applyFont="1" applyFill="1" applyBorder="1">
      <alignment vertical="center"/>
    </xf>
    <xf numFmtId="177" fontId="0" fillId="4" borderId="3" xfId="1" applyNumberFormat="1" applyFont="1" applyFill="1" applyBorder="1">
      <alignment vertical="center"/>
    </xf>
    <xf numFmtId="177" fontId="0" fillId="6" borderId="3" xfId="1" applyNumberFormat="1" applyFont="1" applyFill="1" applyBorder="1">
      <alignment vertical="center"/>
    </xf>
    <xf numFmtId="177" fontId="0" fillId="5" borderId="3" xfId="1" applyNumberFormat="1" applyFont="1" applyFill="1" applyBorder="1">
      <alignment vertical="center"/>
    </xf>
    <xf numFmtId="38" fontId="3" fillId="5" borderId="3" xfId="1" applyFont="1" applyFill="1" applyBorder="1">
      <alignment vertical="center"/>
    </xf>
    <xf numFmtId="38" fontId="3" fillId="4" borderId="2" xfId="1" applyFont="1" applyFill="1" applyBorder="1">
      <alignment vertical="center"/>
    </xf>
    <xf numFmtId="0" fontId="0" fillId="0" borderId="1" xfId="0" applyBorder="1" applyAlignment="1">
      <alignment horizontal="center" vertical="center" wrapText="1"/>
    </xf>
    <xf numFmtId="0" fontId="0" fillId="9" borderId="3" xfId="0" applyFill="1" applyBorder="1">
      <alignment vertical="center"/>
    </xf>
    <xf numFmtId="0" fontId="0" fillId="0" borderId="8" xfId="0" applyBorder="1">
      <alignment vertical="center"/>
    </xf>
    <xf numFmtId="38" fontId="0" fillId="0" borderId="7" xfId="1" applyFont="1" applyBorder="1" applyAlignment="1">
      <alignment horizontal="center" vertical="center"/>
    </xf>
    <xf numFmtId="38" fontId="0" fillId="0" borderId="33" xfId="1" applyFont="1" applyBorder="1" applyAlignment="1">
      <alignment vertical="center"/>
    </xf>
    <xf numFmtId="0" fontId="0" fillId="6" borderId="2" xfId="0" applyFill="1" applyBorder="1">
      <alignment vertical="center"/>
    </xf>
    <xf numFmtId="38" fontId="0" fillId="6" borderId="2" xfId="1" applyFont="1" applyFill="1" applyBorder="1">
      <alignment vertical="center"/>
    </xf>
    <xf numFmtId="38" fontId="0" fillId="9" borderId="3" xfId="1" applyFont="1" applyFill="1" applyBorder="1">
      <alignment vertical="center"/>
    </xf>
    <xf numFmtId="0" fontId="0" fillId="5" borderId="2" xfId="0" applyFill="1" applyBorder="1">
      <alignment vertical="center"/>
    </xf>
    <xf numFmtId="9" fontId="0" fillId="5" borderId="3" xfId="2" applyFont="1" applyFill="1" applyBorder="1">
      <alignment vertical="center"/>
    </xf>
    <xf numFmtId="0" fontId="0" fillId="8" borderId="3" xfId="0" applyFill="1" applyBorder="1">
      <alignment vertical="center"/>
    </xf>
    <xf numFmtId="38" fontId="0" fillId="8" borderId="3" xfId="1" applyFont="1" applyFill="1" applyBorder="1">
      <alignment vertical="center"/>
    </xf>
    <xf numFmtId="0" fontId="0" fillId="0" borderId="18" xfId="0" applyBorder="1" applyAlignment="1">
      <alignment horizontal="center" vertical="center"/>
    </xf>
    <xf numFmtId="0" fontId="0" fillId="0" borderId="18" xfId="0" applyBorder="1" applyAlignment="1">
      <alignment horizontal="center" vertical="center" wrapText="1"/>
    </xf>
    <xf numFmtId="38" fontId="0" fillId="10" borderId="2" xfId="1" applyFont="1" applyFill="1" applyBorder="1">
      <alignment vertical="center"/>
    </xf>
    <xf numFmtId="0" fontId="0" fillId="0" borderId="1" xfId="0" applyFill="1" applyBorder="1" applyAlignment="1">
      <alignment horizontal="center" vertical="center" wrapText="1"/>
    </xf>
    <xf numFmtId="38" fontId="0" fillId="11" borderId="3" xfId="1" applyFont="1" applyFill="1" applyBorder="1">
      <alignment vertical="center"/>
    </xf>
    <xf numFmtId="9" fontId="0" fillId="0" borderId="2" xfId="0" applyNumberFormat="1" applyBorder="1">
      <alignment vertical="center"/>
    </xf>
    <xf numFmtId="9" fontId="0" fillId="0" borderId="3" xfId="0" applyNumberFormat="1" applyBorder="1">
      <alignment vertical="center"/>
    </xf>
    <xf numFmtId="0" fontId="0" fillId="0" borderId="30" xfId="0" applyBorder="1">
      <alignment vertical="center"/>
    </xf>
    <xf numFmtId="38" fontId="0" fillId="0" borderId="9" xfId="1" applyFont="1" applyBorder="1" applyAlignment="1">
      <alignment horizontal="center" vertical="center"/>
    </xf>
    <xf numFmtId="38" fontId="0" fillId="0" borderId="0" xfId="0" applyNumberFormat="1">
      <alignment vertical="center"/>
    </xf>
    <xf numFmtId="0" fontId="0" fillId="0" borderId="0" xfId="0" applyBorder="1" applyAlignment="1">
      <alignment vertical="center"/>
    </xf>
    <xf numFmtId="49" fontId="0" fillId="0" borderId="1" xfId="1" applyNumberFormat="1" applyFont="1" applyBorder="1" applyAlignment="1">
      <alignment horizontal="center" vertical="center"/>
    </xf>
    <xf numFmtId="0" fontId="4" fillId="0" borderId="0" xfId="0" quotePrefix="1" applyFont="1">
      <alignment vertical="center"/>
    </xf>
    <xf numFmtId="0" fontId="10" fillId="0" borderId="0" xfId="0" applyFont="1" applyBorder="1" applyAlignment="1">
      <alignment horizontal="center" vertical="center" wrapText="1"/>
    </xf>
    <xf numFmtId="38" fontId="31" fillId="4" borderId="3" xfId="1" applyFont="1" applyFill="1" applyBorder="1">
      <alignment vertical="center"/>
    </xf>
    <xf numFmtId="38" fontId="31" fillId="6" borderId="3" xfId="1" applyFont="1" applyFill="1" applyBorder="1">
      <alignment vertical="center"/>
    </xf>
    <xf numFmtId="38" fontId="31" fillId="5" borderId="3" xfId="1" applyFont="1" applyFill="1" applyBorder="1">
      <alignment vertical="center"/>
    </xf>
    <xf numFmtId="38" fontId="31" fillId="5" borderId="1" xfId="1" applyFont="1" applyFill="1" applyBorder="1">
      <alignment vertical="center"/>
    </xf>
    <xf numFmtId="0" fontId="18" fillId="0" borderId="1" xfId="0" applyFont="1" applyBorder="1" applyAlignment="1">
      <alignment horizontal="center" vertical="center" wrapText="1"/>
    </xf>
    <xf numFmtId="0" fontId="1" fillId="0" borderId="6" xfId="0" applyFont="1" applyBorder="1" applyAlignment="1">
      <alignment horizontal="center" vertical="center" wrapText="1"/>
    </xf>
    <xf numFmtId="0" fontId="4" fillId="0" borderId="3" xfId="0" applyFont="1" applyFill="1" applyBorder="1">
      <alignment vertical="center"/>
    </xf>
    <xf numFmtId="1" fontId="4" fillId="0" borderId="3" xfId="0" applyNumberFormat="1" applyFont="1" applyFill="1" applyBorder="1">
      <alignment vertical="center"/>
    </xf>
    <xf numFmtId="38" fontId="4" fillId="0" borderId="3" xfId="1" applyFont="1" applyFill="1" applyBorder="1">
      <alignment vertical="center"/>
    </xf>
    <xf numFmtId="0" fontId="20" fillId="0" borderId="0" xfId="0" applyFont="1">
      <alignment vertical="center"/>
    </xf>
    <xf numFmtId="0" fontId="3" fillId="0" borderId="0" xfId="0" applyFont="1">
      <alignment vertical="center"/>
    </xf>
    <xf numFmtId="0" fontId="18" fillId="0" borderId="0" xfId="0" applyFont="1">
      <alignment vertical="center"/>
    </xf>
    <xf numFmtId="38" fontId="3" fillId="0" borderId="0" xfId="1" applyFont="1" applyFill="1" applyBorder="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9" fillId="0" borderId="21" xfId="0" applyFont="1" applyBorder="1" applyAlignment="1">
      <alignment horizontal="center" vertical="center" wrapText="1"/>
    </xf>
    <xf numFmtId="0" fontId="0" fillId="0" borderId="3" xfId="0" applyBorder="1" applyAlignment="1">
      <alignment vertical="center"/>
    </xf>
    <xf numFmtId="9" fontId="0" fillId="0" borderId="3" xfId="1" applyNumberFormat="1" applyFont="1" applyBorder="1">
      <alignment vertical="center"/>
    </xf>
    <xf numFmtId="0" fontId="18" fillId="0" borderId="34" xfId="3" applyBorder="1" applyAlignment="1">
      <alignment horizontal="center" vertical="center"/>
    </xf>
    <xf numFmtId="0" fontId="6" fillId="0" borderId="12" xfId="3" applyFont="1" applyBorder="1" applyAlignment="1">
      <alignment horizontal="center" vertical="center" shrinkToFit="1"/>
    </xf>
    <xf numFmtId="0" fontId="6" fillId="0" borderId="7" xfId="3" applyFont="1" applyBorder="1" applyAlignment="1">
      <alignment horizontal="center" vertical="center"/>
    </xf>
    <xf numFmtId="0" fontId="18" fillId="0" borderId="7" xfId="3" applyBorder="1" applyAlignment="1">
      <alignment horizontal="center" vertical="center"/>
    </xf>
    <xf numFmtId="0" fontId="18" fillId="0" borderId="0" xfId="3">
      <alignment vertical="center"/>
    </xf>
    <xf numFmtId="0" fontId="18" fillId="0" borderId="33" xfId="3" applyBorder="1" applyAlignment="1">
      <alignment horizontal="left" vertical="center" wrapText="1"/>
    </xf>
    <xf numFmtId="0" fontId="18" fillId="0" borderId="33" xfId="3" applyBorder="1" applyAlignment="1">
      <alignment horizontal="center" vertical="center" wrapText="1"/>
    </xf>
    <xf numFmtId="0" fontId="18" fillId="0" borderId="33" xfId="3" applyFill="1" applyBorder="1" applyAlignment="1">
      <alignment horizontal="center" vertical="center"/>
    </xf>
    <xf numFmtId="0" fontId="18" fillId="0" borderId="33" xfId="3" applyBorder="1">
      <alignment vertical="center"/>
    </xf>
    <xf numFmtId="0" fontId="18" fillId="0" borderId="33" xfId="3" applyFill="1" applyBorder="1">
      <alignment vertical="center"/>
    </xf>
    <xf numFmtId="0" fontId="5" fillId="0" borderId="33" xfId="3" applyFont="1" applyFill="1" applyBorder="1">
      <alignment vertical="center"/>
    </xf>
    <xf numFmtId="0" fontId="18" fillId="2" borderId="33" xfId="3" applyFill="1" applyBorder="1">
      <alignment vertical="center"/>
    </xf>
    <xf numFmtId="0" fontId="18" fillId="0" borderId="4" xfId="3" applyBorder="1" applyAlignment="1">
      <alignment vertical="center"/>
    </xf>
    <xf numFmtId="0" fontId="18" fillId="0" borderId="4" xfId="3" applyBorder="1" applyAlignment="1">
      <alignment horizontal="center" vertical="center"/>
    </xf>
    <xf numFmtId="0" fontId="18" fillId="0" borderId="3" xfId="3" applyFill="1" applyBorder="1" applyAlignment="1">
      <alignment horizontal="center" vertical="center"/>
    </xf>
    <xf numFmtId="0" fontId="5" fillId="0" borderId="3" xfId="3" applyFont="1" applyFill="1" applyBorder="1" applyAlignment="1">
      <alignment horizontal="center" vertical="center"/>
    </xf>
    <xf numFmtId="0" fontId="18" fillId="0" borderId="3" xfId="3" applyFill="1" applyBorder="1">
      <alignment vertical="center"/>
    </xf>
    <xf numFmtId="0" fontId="18" fillId="2" borderId="3" xfId="3" applyFill="1" applyBorder="1">
      <alignment vertical="center"/>
    </xf>
    <xf numFmtId="0" fontId="18" fillId="0" borderId="3" xfId="3" applyBorder="1">
      <alignment vertical="center"/>
    </xf>
    <xf numFmtId="38" fontId="0" fillId="0" borderId="2" xfId="1" applyFont="1" applyBorder="1" applyAlignment="1">
      <alignment horizontal="center" vertical="center"/>
    </xf>
    <xf numFmtId="38" fontId="0" fillId="7" borderId="3" xfId="1" applyFont="1" applyFill="1" applyBorder="1">
      <alignment vertical="center"/>
    </xf>
    <xf numFmtId="38" fontId="4" fillId="7" borderId="3" xfId="1" applyFont="1" applyFill="1" applyBorder="1">
      <alignment vertical="center"/>
    </xf>
    <xf numFmtId="0" fontId="0" fillId="0" borderId="1" xfId="0" applyBorder="1" applyAlignment="1">
      <alignment horizontal="center" vertical="center"/>
    </xf>
    <xf numFmtId="0" fontId="0" fillId="0" borderId="13" xfId="0" applyBorder="1" applyAlignment="1">
      <alignment horizontal="left" vertical="center"/>
    </xf>
    <xf numFmtId="0" fontId="0" fillId="0" borderId="0" xfId="0" applyBorder="1" applyAlignment="1">
      <alignment horizontal="left" vertical="center"/>
    </xf>
    <xf numFmtId="0" fontId="0" fillId="0" borderId="16" xfId="0" applyBorder="1" applyAlignment="1">
      <alignment horizontal="left"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28" xfId="0"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18" xfId="0" applyBorder="1" applyAlignment="1">
      <alignment horizontal="center" vertical="center" wrapText="1"/>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vertical="center"/>
    </xf>
    <xf numFmtId="0" fontId="0" fillId="0" borderId="2" xfId="0" applyBorder="1" applyAlignment="1">
      <alignment vertical="center"/>
    </xf>
    <xf numFmtId="0" fontId="0" fillId="0" borderId="11" xfId="0" applyBorder="1" applyAlignment="1">
      <alignment horizontal="center" vertical="center"/>
    </xf>
    <xf numFmtId="0" fontId="18" fillId="0" borderId="2" xfId="0" applyFont="1" applyBorder="1" applyAlignment="1">
      <alignment horizontal="center" vertical="center" wrapText="1"/>
    </xf>
    <xf numFmtId="0" fontId="0" fillId="8" borderId="7" xfId="0" applyFont="1" applyFill="1" applyBorder="1" applyAlignment="1">
      <alignment horizontal="center" vertical="center" wrapText="1"/>
    </xf>
    <xf numFmtId="0" fontId="18" fillId="8" borderId="8" xfId="0" applyFont="1" applyFill="1" applyBorder="1" applyAlignment="1">
      <alignment horizontal="center" vertical="center"/>
    </xf>
    <xf numFmtId="0" fontId="18" fillId="8" borderId="2" xfId="0" applyFont="1" applyFill="1" applyBorder="1" applyAlignment="1">
      <alignment horizontal="center" vertical="center"/>
    </xf>
    <xf numFmtId="0" fontId="0" fillId="0" borderId="12" xfId="0" applyBorder="1" applyAlignment="1">
      <alignment horizontal="right" vertical="center"/>
    </xf>
    <xf numFmtId="0" fontId="0" fillId="0" borderId="15" xfId="0" applyBorder="1" applyAlignment="1">
      <alignment horizontal="right" vertical="center"/>
    </xf>
    <xf numFmtId="0" fontId="0" fillId="0" borderId="19" xfId="0" applyBorder="1" applyAlignment="1">
      <alignment horizontal="left" vertical="center"/>
    </xf>
    <xf numFmtId="0" fontId="0" fillId="0" borderId="29" xfId="0" applyBorder="1" applyAlignment="1">
      <alignment horizontal="left" vertical="center"/>
    </xf>
    <xf numFmtId="0" fontId="0" fillId="6" borderId="8" xfId="0" applyFill="1" applyBorder="1" applyAlignment="1">
      <alignment horizontal="center" vertical="center"/>
    </xf>
    <xf numFmtId="0" fontId="0" fillId="6" borderId="2" xfId="0" applyFill="1" applyBorder="1" applyAlignment="1">
      <alignment horizontal="center" vertical="center"/>
    </xf>
    <xf numFmtId="0" fontId="8" fillId="9" borderId="7" xfId="0" applyFont="1" applyFill="1" applyBorder="1" applyAlignment="1">
      <alignment horizontal="center" vertical="center"/>
    </xf>
    <xf numFmtId="0" fontId="8" fillId="9" borderId="8" xfId="0" applyFont="1" applyFill="1" applyBorder="1" applyAlignment="1">
      <alignment horizontal="center" vertical="center"/>
    </xf>
    <xf numFmtId="0" fontId="8" fillId="9" borderId="2" xfId="0" applyFont="1" applyFill="1" applyBorder="1" applyAlignment="1">
      <alignment horizontal="center" vertical="center"/>
    </xf>
    <xf numFmtId="0" fontId="0" fillId="5" borderId="7" xfId="0" applyFill="1" applyBorder="1" applyAlignment="1">
      <alignment horizontal="center" vertical="center"/>
    </xf>
    <xf numFmtId="0" fontId="0" fillId="5" borderId="2" xfId="0" applyFill="1"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left" vertical="center" wrapText="1"/>
    </xf>
    <xf numFmtId="0" fontId="0" fillId="0" borderId="7"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center"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0" fillId="6" borderId="4" xfId="0" applyFill="1" applyBorder="1" applyAlignment="1">
      <alignment horizontal="center" vertical="center"/>
    </xf>
    <xf numFmtId="0" fontId="0" fillId="6" borderId="6" xfId="0" applyFill="1" applyBorder="1" applyAlignment="1">
      <alignment horizontal="center" vertical="center"/>
    </xf>
    <xf numFmtId="0" fontId="0" fillId="0" borderId="2" xfId="0"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8" xfId="0" applyFont="1"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6" borderId="3" xfId="0" applyFill="1" applyBorder="1" applyAlignment="1">
      <alignment horizontal="center" vertical="center" wrapText="1"/>
    </xf>
    <xf numFmtId="0" fontId="0" fillId="6" borderId="3" xfId="0" applyFill="1" applyBorder="1" applyAlignment="1">
      <alignment horizontal="center" vertical="center"/>
    </xf>
    <xf numFmtId="0" fontId="0" fillId="5" borderId="12" xfId="0" applyFill="1" applyBorder="1" applyAlignment="1">
      <alignment horizontal="center" vertical="center" wrapText="1"/>
    </xf>
    <xf numFmtId="0" fontId="0" fillId="5" borderId="14" xfId="0" applyFill="1" applyBorder="1" applyAlignment="1">
      <alignment horizontal="center" vertical="center"/>
    </xf>
    <xf numFmtId="0" fontId="0" fillId="5" borderId="3" xfId="0" applyFill="1" applyBorder="1" applyAlignment="1">
      <alignment horizontal="center" vertical="center" wrapText="1"/>
    </xf>
    <xf numFmtId="0" fontId="0" fillId="5" borderId="3" xfId="0" applyFill="1" applyBorder="1" applyAlignment="1">
      <alignment horizontal="center" vertical="center"/>
    </xf>
    <xf numFmtId="0" fontId="0" fillId="4" borderId="4" xfId="0" applyFill="1" applyBorder="1" applyAlignment="1">
      <alignment horizontal="center" vertical="center"/>
    </xf>
    <xf numFmtId="0" fontId="0" fillId="4" borderId="6"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4" borderId="14" xfId="0" applyFill="1" applyBorder="1" applyAlignment="1">
      <alignment horizontal="center" vertical="center"/>
    </xf>
    <xf numFmtId="0" fontId="0" fillId="4" borderId="17" xfId="0" applyFill="1" applyBorder="1" applyAlignment="1">
      <alignment horizontal="center"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0" fillId="4" borderId="33" xfId="0" applyFill="1" applyBorder="1" applyAlignment="1">
      <alignment horizontal="center" vertical="center" wrapText="1"/>
    </xf>
    <xf numFmtId="0" fontId="0" fillId="5" borderId="13" xfId="0" applyFill="1" applyBorder="1" applyAlignment="1">
      <alignment horizontal="center" vertical="center"/>
    </xf>
    <xf numFmtId="0" fontId="0" fillId="0" borderId="8" xfId="0" applyFont="1" applyBorder="1" applyAlignment="1">
      <alignment horizontal="center" vertical="center" wrapText="1"/>
    </xf>
    <xf numFmtId="38" fontId="0" fillId="0" borderId="4"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6" xfId="1" applyFont="1" applyFill="1" applyBorder="1" applyAlignment="1">
      <alignment horizontal="center" vertical="center"/>
    </xf>
    <xf numFmtId="0" fontId="0" fillId="0" borderId="3" xfId="0" applyFill="1" applyBorder="1" applyAlignment="1">
      <alignment horizontal="center" vertical="center"/>
    </xf>
    <xf numFmtId="0" fontId="0" fillId="4" borderId="3" xfId="0" applyFill="1" applyBorder="1" applyAlignment="1">
      <alignment horizontal="center" vertical="center" wrapText="1"/>
    </xf>
    <xf numFmtId="0" fontId="0" fillId="0" borderId="3" xfId="0" applyFill="1" applyBorder="1" applyAlignment="1">
      <alignment horizontal="center" vertical="center" wrapText="1"/>
    </xf>
    <xf numFmtId="38" fontId="3" fillId="3" borderId="4" xfId="0" applyNumberFormat="1" applyFont="1" applyFill="1" applyBorder="1" applyAlignment="1">
      <alignment horizontal="center" vertical="center"/>
    </xf>
    <xf numFmtId="38" fontId="4" fillId="3" borderId="5" xfId="0" applyNumberFormat="1" applyFont="1" applyFill="1" applyBorder="1" applyAlignment="1">
      <alignment horizontal="center" vertical="center"/>
    </xf>
    <xf numFmtId="38" fontId="4" fillId="3" borderId="6" xfId="0" applyNumberFormat="1" applyFont="1" applyFill="1" applyBorder="1" applyAlignment="1">
      <alignment horizontal="center" vertical="center"/>
    </xf>
    <xf numFmtId="2" fontId="3" fillId="3" borderId="4" xfId="0" applyNumberFormat="1" applyFont="1" applyFill="1" applyBorder="1" applyAlignment="1">
      <alignment horizontal="center" vertical="center"/>
    </xf>
    <xf numFmtId="2" fontId="4" fillId="3" borderId="5" xfId="0" applyNumberFormat="1" applyFont="1" applyFill="1" applyBorder="1" applyAlignment="1">
      <alignment horizontal="center" vertical="center"/>
    </xf>
    <xf numFmtId="2" fontId="4" fillId="3" borderId="6" xfId="0" applyNumberFormat="1" applyFont="1" applyFill="1" applyBorder="1" applyAlignment="1">
      <alignment horizontal="center" vertical="center"/>
    </xf>
    <xf numFmtId="0" fontId="0" fillId="0" borderId="33" xfId="0" applyBorder="1" applyAlignment="1">
      <alignment horizontal="center" vertical="center" wrapText="1"/>
    </xf>
    <xf numFmtId="0" fontId="6" fillId="0" borderId="3" xfId="0" applyFont="1" applyBorder="1" applyAlignment="1">
      <alignment horizontal="center" vertical="center" wrapText="1"/>
    </xf>
    <xf numFmtId="0" fontId="16" fillId="0" borderId="3" xfId="0" applyFont="1" applyBorder="1" applyAlignment="1">
      <alignment horizontal="center" vertical="center"/>
    </xf>
    <xf numFmtId="0" fontId="7" fillId="0" borderId="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9" xfId="0" applyFont="1" applyBorder="1" applyAlignment="1">
      <alignment horizontal="center" vertical="center" shrinkToFit="1"/>
    </xf>
    <xf numFmtId="41" fontId="7" fillId="0" borderId="4" xfId="0" applyNumberFormat="1" applyFont="1" applyBorder="1" applyAlignment="1">
      <alignment horizontal="center" vertical="center" shrinkToFit="1"/>
    </xf>
    <xf numFmtId="41" fontId="7" fillId="0" borderId="6" xfId="0" applyNumberFormat="1" applyFont="1" applyBorder="1" applyAlignment="1">
      <alignment horizontal="center" vertical="center" shrinkToFit="1"/>
    </xf>
    <xf numFmtId="0" fontId="1" fillId="0" borderId="22" xfId="0" applyFont="1" applyBorder="1" applyAlignment="1">
      <alignment horizontal="center" vertical="center"/>
    </xf>
    <xf numFmtId="0" fontId="7" fillId="0" borderId="24" xfId="0" applyFont="1" applyBorder="1" applyAlignment="1">
      <alignment horizontal="center" vertical="center"/>
    </xf>
    <xf numFmtId="0" fontId="1"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4" fillId="0" borderId="0" xfId="0" quotePrefix="1" applyFont="1" applyAlignment="1">
      <alignment horizontal="right" vertical="center"/>
    </xf>
    <xf numFmtId="0" fontId="4" fillId="0" borderId="0" xfId="0" applyFont="1" applyAlignment="1">
      <alignment horizontal="right" vertical="center"/>
    </xf>
    <xf numFmtId="0" fontId="4" fillId="0" borderId="0" xfId="0" quotePrefix="1" applyFont="1" applyAlignment="1">
      <alignment horizontal="center" vertical="center"/>
    </xf>
    <xf numFmtId="0" fontId="4" fillId="0" borderId="0" xfId="0" applyFont="1" applyAlignment="1">
      <alignment horizontal="center" vertical="center"/>
    </xf>
  </cellXfs>
  <cellStyles count="4">
    <cellStyle name="パーセント" xfId="2" builtinId="5"/>
    <cellStyle name="桁区切り" xfId="1" builtinId="6"/>
    <cellStyle name="標準" xfId="0" builtinId="0"/>
    <cellStyle name="標準 2" xfId="3"/>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652530569351"/>
          <c:y val="4.3539713236291001E-2"/>
          <c:w val="0.864815503949108"/>
          <c:h val="0.768050523352929"/>
        </c:manualLayout>
      </c:layout>
      <c:lineChart>
        <c:grouping val="standard"/>
        <c:varyColors val="0"/>
        <c:ser>
          <c:idx val="0"/>
          <c:order val="0"/>
          <c:tx>
            <c:strRef>
              <c:f>行政人口の見通し!$D$3</c:f>
              <c:strCache>
                <c:ptCount val="1"/>
                <c:pt idx="0">
                  <c:v>行政人口</c:v>
                </c:pt>
              </c:strCache>
            </c:strRef>
          </c:tx>
          <c:spPr>
            <a:ln w="22225" cap="rnd" cmpd="sng" algn="ctr">
              <a:solidFill>
                <a:schemeClr val="accent1"/>
              </a:solidFill>
              <a:round/>
            </a:ln>
            <a:effectLst/>
          </c:spPr>
          <c:marker>
            <c:symbol val="none"/>
          </c:marker>
          <c:cat>
            <c:strRef>
              <c:f>行政人口の見通し!$E$2:$AC$2</c:f>
              <c:strCache>
                <c:ptCount val="25"/>
                <c:pt idx="0">
                  <c:v>1（現在）</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strCache>
            </c:strRef>
          </c:cat>
          <c:val>
            <c:numRef>
              <c:f>行政人口の見通し!$E$3:$AC$3</c:f>
              <c:numCache>
                <c:formatCode>#,##0_);[Red]\(#,##0\)</c:formatCode>
                <c:ptCount val="25"/>
                <c:pt idx="0">
                  <c:v>21000</c:v>
                </c:pt>
                <c:pt idx="1">
                  <c:v>20930</c:v>
                </c:pt>
                <c:pt idx="2">
                  <c:v>20846</c:v>
                </c:pt>
                <c:pt idx="3">
                  <c:v>20748</c:v>
                </c:pt>
                <c:pt idx="4">
                  <c:v>20636</c:v>
                </c:pt>
                <c:pt idx="5">
                  <c:v>20510</c:v>
                </c:pt>
                <c:pt idx="6">
                  <c:v>20370</c:v>
                </c:pt>
                <c:pt idx="7">
                  <c:v>20216</c:v>
                </c:pt>
                <c:pt idx="8">
                  <c:v>20048</c:v>
                </c:pt>
                <c:pt idx="9">
                  <c:v>19866</c:v>
                </c:pt>
                <c:pt idx="10">
                  <c:v>19670</c:v>
                </c:pt>
                <c:pt idx="11">
                  <c:v>19460</c:v>
                </c:pt>
                <c:pt idx="12">
                  <c:v>19236</c:v>
                </c:pt>
                <c:pt idx="13">
                  <c:v>18998</c:v>
                </c:pt>
                <c:pt idx="14">
                  <c:v>18746</c:v>
                </c:pt>
                <c:pt idx="15">
                  <c:v>18480</c:v>
                </c:pt>
                <c:pt idx="16">
                  <c:v>18200</c:v>
                </c:pt>
                <c:pt idx="17">
                  <c:v>17906</c:v>
                </c:pt>
                <c:pt idx="18">
                  <c:v>17598</c:v>
                </c:pt>
                <c:pt idx="19">
                  <c:v>17276</c:v>
                </c:pt>
                <c:pt idx="20">
                  <c:v>16940</c:v>
                </c:pt>
                <c:pt idx="21">
                  <c:v>16590</c:v>
                </c:pt>
                <c:pt idx="22">
                  <c:v>16226</c:v>
                </c:pt>
                <c:pt idx="23">
                  <c:v>15848</c:v>
                </c:pt>
                <c:pt idx="24">
                  <c:v>15456</c:v>
                </c:pt>
              </c:numCache>
            </c:numRef>
          </c:val>
          <c:smooth val="0"/>
          <c:extLst>
            <c:ext xmlns:c16="http://schemas.microsoft.com/office/drawing/2014/chart" uri="{C3380CC4-5D6E-409C-BE32-E72D297353CC}">
              <c16:uniqueId val="{00000000-C025-42BE-89A1-8ACA094B9EF4}"/>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256799608"/>
        <c:axId val="256799216"/>
      </c:lineChart>
      <c:catAx>
        <c:axId val="256799608"/>
        <c:scaling>
          <c:orientation val="minMax"/>
        </c:scaling>
        <c:delete val="0"/>
        <c:axPos val="b"/>
        <c:title>
          <c:tx>
            <c:rich>
              <a:bodyPr rot="0" spcFirstLastPara="1" vertOverflow="ellipsis" vert="horz" wrap="square" anchor="ctr" anchorCtr="1"/>
              <a:lstStyle/>
              <a:p>
                <a:pPr>
                  <a:defRPr lang="ja-JP" sz="900" b="0" i="0" u="none" strike="noStrike" kern="1200" cap="all" baseline="0">
                    <a:solidFill>
                      <a:schemeClr val="dk1">
                        <a:lumMod val="65000"/>
                        <a:lumOff val="35000"/>
                      </a:schemeClr>
                    </a:solidFill>
                    <a:latin typeface="+mn-lt"/>
                    <a:ea typeface="+mn-ea"/>
                    <a:cs typeface="+mn-cs"/>
                  </a:defRPr>
                </a:pPr>
                <a:r>
                  <a:rPr lang="ja-JP"/>
                  <a:t>年度</a:t>
                </a:r>
                <a:r>
                  <a:rPr lang="ja-JP" altLang="en-US"/>
                  <a:t>（年）</a:t>
                </a:r>
                <a:endParaRPr lang="ja-JP"/>
              </a:p>
            </c:rich>
          </c:tx>
          <c:layout>
            <c:manualLayout>
              <c:xMode val="edge"/>
              <c:yMode val="edge"/>
              <c:x val="0.45418081819640299"/>
              <c:y val="0.919319054793313"/>
            </c:manualLayout>
          </c:layout>
          <c:overlay val="0"/>
          <c:spPr>
            <a:noFill/>
            <a:ln>
              <a:noFill/>
            </a:ln>
            <a:effectLst/>
          </c:spPr>
          <c:txPr>
            <a:bodyPr rot="0" spcFirstLastPara="1" vertOverflow="ellipsis" vert="horz" wrap="square" anchor="ctr" anchorCtr="1"/>
            <a:lstStyle/>
            <a:p>
              <a:pPr>
                <a:defRPr lang="ja-JP" sz="900" b="0" i="0" u="none" strike="noStrike" kern="1200" cap="all" baseline="0">
                  <a:solidFill>
                    <a:schemeClr val="dk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lang="ja-JP" sz="900" b="0" i="0" u="none" strike="noStrike" kern="1200" spc="20" baseline="0">
                <a:solidFill>
                  <a:schemeClr val="dk1">
                    <a:lumMod val="65000"/>
                    <a:lumOff val="35000"/>
                  </a:schemeClr>
                </a:solidFill>
                <a:latin typeface="+mn-lt"/>
                <a:ea typeface="+mn-ea"/>
                <a:cs typeface="+mn-cs"/>
              </a:defRPr>
            </a:pPr>
            <a:endParaRPr lang="ja-JP"/>
          </a:p>
        </c:txPr>
        <c:crossAx val="256799216"/>
        <c:crosses val="autoZero"/>
        <c:auto val="1"/>
        <c:lblAlgn val="ctr"/>
        <c:lblOffset val="100"/>
        <c:noMultiLvlLbl val="0"/>
      </c:catAx>
      <c:valAx>
        <c:axId val="256799216"/>
        <c:scaling>
          <c:orientation val="minMax"/>
          <c:min val="0"/>
        </c:scaling>
        <c:delete val="0"/>
        <c:axPos val="l"/>
        <c:title>
          <c:tx>
            <c:rich>
              <a:bodyPr rot="-5400000" spcFirstLastPara="1" vertOverflow="ellipsis" vert="horz" wrap="square" anchor="ctr" anchorCtr="1"/>
              <a:lstStyle/>
              <a:p>
                <a:pPr>
                  <a:defRPr lang="ja-JP" sz="900" b="0" i="0" u="none" strike="noStrike" kern="1200" cap="all" baseline="0">
                    <a:solidFill>
                      <a:schemeClr val="dk1">
                        <a:lumMod val="65000"/>
                        <a:lumOff val="35000"/>
                      </a:schemeClr>
                    </a:solidFill>
                    <a:latin typeface="+mn-lt"/>
                    <a:ea typeface="+mn-ea"/>
                    <a:cs typeface="+mn-cs"/>
                  </a:defRPr>
                </a:pPr>
                <a:r>
                  <a:rPr lang="ja-JP"/>
                  <a:t>行政人口（人）</a:t>
                </a:r>
              </a:p>
            </c:rich>
          </c:tx>
          <c:overlay val="0"/>
          <c:spPr>
            <a:noFill/>
            <a:ln>
              <a:noFill/>
            </a:ln>
            <a:effectLst/>
          </c:spPr>
          <c:txPr>
            <a:bodyPr rot="-5400000" spcFirstLastPara="1" vertOverflow="ellipsis" vert="horz" wrap="square" anchor="ctr" anchorCtr="1"/>
            <a:lstStyle/>
            <a:p>
              <a:pPr>
                <a:defRPr lang="ja-JP" sz="900" b="0" i="0" u="none" strike="noStrike" kern="1200" cap="all" baseline="0">
                  <a:solidFill>
                    <a:schemeClr val="dk1">
                      <a:lumMod val="65000"/>
                      <a:lumOff val="35000"/>
                    </a:schemeClr>
                  </a:solidFill>
                  <a:latin typeface="+mn-lt"/>
                  <a:ea typeface="+mn-ea"/>
                  <a:cs typeface="+mn-cs"/>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spc="20" baseline="0">
                <a:solidFill>
                  <a:schemeClr val="dk1">
                    <a:lumMod val="65000"/>
                    <a:lumOff val="35000"/>
                  </a:schemeClr>
                </a:solidFill>
                <a:latin typeface="+mn-lt"/>
                <a:ea typeface="+mn-ea"/>
                <a:cs typeface="+mn-cs"/>
              </a:defRPr>
            </a:pPr>
            <a:endParaRPr lang="ja-JP"/>
          </a:p>
        </c:txPr>
        <c:crossAx val="256799608"/>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lang="ja-JP"/>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62762987557401"/>
          <c:y val="0.134259259259259"/>
          <c:w val="0.78076640715163104"/>
          <c:h val="0.68484543598716796"/>
        </c:manualLayout>
      </c:layout>
      <c:barChart>
        <c:barDir val="col"/>
        <c:grouping val="clustered"/>
        <c:varyColors val="0"/>
        <c:ser>
          <c:idx val="2"/>
          <c:order val="2"/>
          <c:tx>
            <c:strRef>
              <c:f>将来フレーム!$B$10</c:f>
              <c:strCache>
                <c:ptCount val="1"/>
                <c:pt idx="0">
                  <c:v>A下水処理場稼働率（％）</c:v>
                </c:pt>
              </c:strCache>
            </c:strRef>
          </c:tx>
          <c:spPr>
            <a:solidFill>
              <a:schemeClr val="accent4">
                <a:lumMod val="20000"/>
                <a:lumOff val="80000"/>
              </a:schemeClr>
            </a:solidFill>
            <a:ln>
              <a:noFill/>
            </a:ln>
            <a:effectLst/>
          </c:spPr>
          <c:invertIfNegative val="0"/>
          <c:cat>
            <c:strRef>
              <c:f>将来フレーム!$C$2:$AA$2</c:f>
              <c:strCache>
                <c:ptCount val="25"/>
                <c:pt idx="0">
                  <c:v>1（現在）</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strCache>
            </c:strRef>
          </c:cat>
          <c:val>
            <c:numRef>
              <c:f>将来フレーム!$C$10:$AA$10</c:f>
              <c:numCache>
                <c:formatCode>0%</c:formatCode>
                <c:ptCount val="25"/>
                <c:pt idx="0">
                  <c:v>0.45111111111111113</c:v>
                </c:pt>
                <c:pt idx="1">
                  <c:v>0.44959666666666664</c:v>
                </c:pt>
                <c:pt idx="2">
                  <c:v>0.44779222222222226</c:v>
                </c:pt>
                <c:pt idx="3">
                  <c:v>0.4456977777777778</c:v>
                </c:pt>
                <c:pt idx="4">
                  <c:v>0.44328111111111113</c:v>
                </c:pt>
                <c:pt idx="5">
                  <c:v>0.44057444444444444</c:v>
                </c:pt>
                <c:pt idx="6">
                  <c:v>0.43757777777777773</c:v>
                </c:pt>
                <c:pt idx="7">
                  <c:v>0.43425888888888886</c:v>
                </c:pt>
                <c:pt idx="8">
                  <c:v>0.43064999999999998</c:v>
                </c:pt>
                <c:pt idx="9">
                  <c:v>0.42675111111111114</c:v>
                </c:pt>
                <c:pt idx="10">
                  <c:v>0.42253000000000002</c:v>
                </c:pt>
                <c:pt idx="11">
                  <c:v>0.41801888888888888</c:v>
                </c:pt>
                <c:pt idx="12">
                  <c:v>0.41321777777777779</c:v>
                </c:pt>
                <c:pt idx="13">
                  <c:v>0.40809444444444443</c:v>
                </c:pt>
                <c:pt idx="14">
                  <c:v>0.4026811111111111</c:v>
                </c:pt>
                <c:pt idx="15">
                  <c:v>0.39697777777777782</c:v>
                </c:pt>
                <c:pt idx="16">
                  <c:v>0.39095222222222226</c:v>
                </c:pt>
                <c:pt idx="17">
                  <c:v>0.38463666666666668</c:v>
                </c:pt>
                <c:pt idx="18">
                  <c:v>0.37803111111111115</c:v>
                </c:pt>
                <c:pt idx="19">
                  <c:v>0.37110333333333334</c:v>
                </c:pt>
                <c:pt idx="20">
                  <c:v>0.36388555555555552</c:v>
                </c:pt>
                <c:pt idx="21">
                  <c:v>0.35637777777777779</c:v>
                </c:pt>
                <c:pt idx="22">
                  <c:v>0.34854777777777773</c:v>
                </c:pt>
                <c:pt idx="23">
                  <c:v>0.34042777777777777</c:v>
                </c:pt>
                <c:pt idx="24">
                  <c:v>0.33201777777777775</c:v>
                </c:pt>
              </c:numCache>
            </c:numRef>
          </c:val>
          <c:extLst>
            <c:ext xmlns:c16="http://schemas.microsoft.com/office/drawing/2014/chart" uri="{C3380CC4-5D6E-409C-BE32-E72D297353CC}">
              <c16:uniqueId val="{00000000-50C0-48BC-A3A1-9FED0C8061DB}"/>
            </c:ext>
          </c:extLst>
        </c:ser>
        <c:dLbls>
          <c:showLegendKey val="0"/>
          <c:showVal val="0"/>
          <c:showCatName val="0"/>
          <c:showSerName val="0"/>
          <c:showPercent val="0"/>
          <c:showBubbleSize val="0"/>
        </c:dLbls>
        <c:gapWidth val="219"/>
        <c:axId val="259106120"/>
        <c:axId val="259106512"/>
      </c:barChart>
      <c:lineChart>
        <c:grouping val="standard"/>
        <c:varyColors val="0"/>
        <c:ser>
          <c:idx val="0"/>
          <c:order val="0"/>
          <c:tx>
            <c:strRef>
              <c:f>将来フレーム!$B$4</c:f>
              <c:strCache>
                <c:ptCount val="1"/>
                <c:pt idx="0">
                  <c:v>A処理区内人口（人）</c:v>
                </c:pt>
              </c:strCache>
            </c:strRef>
          </c:tx>
          <c:spPr>
            <a:ln w="28575" cap="rnd">
              <a:solidFill>
                <a:schemeClr val="accent1"/>
              </a:solidFill>
              <a:round/>
            </a:ln>
            <a:effectLst/>
          </c:spPr>
          <c:marker>
            <c:symbol val="diamond"/>
            <c:size val="5"/>
            <c:spPr>
              <a:solidFill>
                <a:schemeClr val="accent1"/>
              </a:solidFill>
              <a:ln w="9525">
                <a:solidFill>
                  <a:schemeClr val="accent1"/>
                </a:solidFill>
              </a:ln>
              <a:effectLst/>
            </c:spPr>
          </c:marker>
          <c:cat>
            <c:strRef>
              <c:f>将来フレーム!$C$2:$AA$2</c:f>
              <c:strCache>
                <c:ptCount val="25"/>
                <c:pt idx="0">
                  <c:v>1（現在）</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strCache>
            </c:strRef>
          </c:cat>
          <c:val>
            <c:numRef>
              <c:f>将来フレーム!$C$4:$AA$4</c:f>
              <c:numCache>
                <c:formatCode>#,##0_);[Red]\(#,##0\)</c:formatCode>
                <c:ptCount val="25"/>
                <c:pt idx="0">
                  <c:v>14000</c:v>
                </c:pt>
                <c:pt idx="1">
                  <c:v>13953</c:v>
                </c:pt>
                <c:pt idx="2">
                  <c:v>13897</c:v>
                </c:pt>
                <c:pt idx="3">
                  <c:v>13832</c:v>
                </c:pt>
                <c:pt idx="4">
                  <c:v>13757</c:v>
                </c:pt>
                <c:pt idx="5">
                  <c:v>13673</c:v>
                </c:pt>
                <c:pt idx="6">
                  <c:v>13580</c:v>
                </c:pt>
                <c:pt idx="7">
                  <c:v>13477</c:v>
                </c:pt>
                <c:pt idx="8">
                  <c:v>13365</c:v>
                </c:pt>
                <c:pt idx="9">
                  <c:v>13244</c:v>
                </c:pt>
                <c:pt idx="10">
                  <c:v>13113</c:v>
                </c:pt>
                <c:pt idx="11">
                  <c:v>12973</c:v>
                </c:pt>
                <c:pt idx="12">
                  <c:v>12824</c:v>
                </c:pt>
                <c:pt idx="13">
                  <c:v>12665</c:v>
                </c:pt>
                <c:pt idx="14">
                  <c:v>12497</c:v>
                </c:pt>
                <c:pt idx="15">
                  <c:v>12320</c:v>
                </c:pt>
                <c:pt idx="16">
                  <c:v>12133</c:v>
                </c:pt>
                <c:pt idx="17">
                  <c:v>11937</c:v>
                </c:pt>
                <c:pt idx="18">
                  <c:v>11732</c:v>
                </c:pt>
                <c:pt idx="19">
                  <c:v>11517</c:v>
                </c:pt>
                <c:pt idx="20">
                  <c:v>11293</c:v>
                </c:pt>
                <c:pt idx="21">
                  <c:v>11060</c:v>
                </c:pt>
                <c:pt idx="22">
                  <c:v>10817</c:v>
                </c:pt>
                <c:pt idx="23">
                  <c:v>10565</c:v>
                </c:pt>
                <c:pt idx="24">
                  <c:v>10304</c:v>
                </c:pt>
              </c:numCache>
            </c:numRef>
          </c:val>
          <c:smooth val="0"/>
          <c:extLst>
            <c:ext xmlns:c16="http://schemas.microsoft.com/office/drawing/2014/chart" uri="{C3380CC4-5D6E-409C-BE32-E72D297353CC}">
              <c16:uniqueId val="{00000001-50C0-48BC-A3A1-9FED0C8061DB}"/>
            </c:ext>
          </c:extLst>
        </c:ser>
        <c:ser>
          <c:idx val="1"/>
          <c:order val="1"/>
          <c:tx>
            <c:strRef>
              <c:f>将来フレーム!$B$6</c:f>
              <c:strCache>
                <c:ptCount val="1"/>
                <c:pt idx="0">
                  <c:v>A処理区（日平均）（m3/日）</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将来フレーム!$C$2:$AA$2</c:f>
              <c:strCache>
                <c:ptCount val="25"/>
                <c:pt idx="0">
                  <c:v>1（現在）</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strCache>
            </c:strRef>
          </c:cat>
          <c:val>
            <c:numRef>
              <c:f>将来フレーム!$C$6:$AA$6</c:f>
              <c:numCache>
                <c:formatCode>#,##0_);[Red]\(#,##0\)</c:formatCode>
                <c:ptCount val="25"/>
                <c:pt idx="0">
                  <c:v>4060</c:v>
                </c:pt>
                <c:pt idx="1">
                  <c:v>4046.37</c:v>
                </c:pt>
                <c:pt idx="2">
                  <c:v>4030.13</c:v>
                </c:pt>
                <c:pt idx="3">
                  <c:v>4011.28</c:v>
                </c:pt>
                <c:pt idx="4">
                  <c:v>3989.53</c:v>
                </c:pt>
                <c:pt idx="5">
                  <c:v>3965.17</c:v>
                </c:pt>
                <c:pt idx="6">
                  <c:v>3938.2</c:v>
                </c:pt>
                <c:pt idx="7">
                  <c:v>3908.33</c:v>
                </c:pt>
                <c:pt idx="8">
                  <c:v>3875.85</c:v>
                </c:pt>
                <c:pt idx="9">
                  <c:v>3840.76</c:v>
                </c:pt>
                <c:pt idx="10">
                  <c:v>3802.77</c:v>
                </c:pt>
                <c:pt idx="11">
                  <c:v>3762.17</c:v>
                </c:pt>
                <c:pt idx="12">
                  <c:v>3718.96</c:v>
                </c:pt>
                <c:pt idx="13">
                  <c:v>3672.85</c:v>
                </c:pt>
                <c:pt idx="14">
                  <c:v>3624.13</c:v>
                </c:pt>
                <c:pt idx="15">
                  <c:v>3572.8</c:v>
                </c:pt>
                <c:pt idx="16">
                  <c:v>3518.57</c:v>
                </c:pt>
                <c:pt idx="17">
                  <c:v>3461.73</c:v>
                </c:pt>
                <c:pt idx="18">
                  <c:v>3402.28</c:v>
                </c:pt>
                <c:pt idx="19">
                  <c:v>3339.93</c:v>
                </c:pt>
                <c:pt idx="20">
                  <c:v>3274.97</c:v>
                </c:pt>
                <c:pt idx="21">
                  <c:v>3207.4</c:v>
                </c:pt>
                <c:pt idx="22">
                  <c:v>3136.93</c:v>
                </c:pt>
                <c:pt idx="23">
                  <c:v>3063.85</c:v>
                </c:pt>
                <c:pt idx="24">
                  <c:v>2988.16</c:v>
                </c:pt>
              </c:numCache>
            </c:numRef>
          </c:val>
          <c:smooth val="0"/>
          <c:extLst>
            <c:ext xmlns:c16="http://schemas.microsoft.com/office/drawing/2014/chart" uri="{C3380CC4-5D6E-409C-BE32-E72D297353CC}">
              <c16:uniqueId val="{00000002-50C0-48BC-A3A1-9FED0C8061DB}"/>
            </c:ext>
          </c:extLst>
        </c:ser>
        <c:ser>
          <c:idx val="3"/>
          <c:order val="3"/>
          <c:tx>
            <c:strRef>
              <c:f>将来フレーム!$B$7</c:f>
              <c:strCache>
                <c:ptCount val="1"/>
                <c:pt idx="0">
                  <c:v>A処理区（日最大）（m3/日）</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val>
            <c:numRef>
              <c:f>将来フレーム!$C$7:$AA$7</c:f>
              <c:numCache>
                <c:formatCode>#,##0_);[Red]\(#,##0\)</c:formatCode>
                <c:ptCount val="25"/>
                <c:pt idx="0">
                  <c:v>5800</c:v>
                </c:pt>
                <c:pt idx="1">
                  <c:v>5780.5285714285719</c:v>
                </c:pt>
                <c:pt idx="2">
                  <c:v>5757.3285714285721</c:v>
                </c:pt>
                <c:pt idx="3">
                  <c:v>5730.4000000000005</c:v>
                </c:pt>
                <c:pt idx="4">
                  <c:v>5699.3285714285721</c:v>
                </c:pt>
                <c:pt idx="5">
                  <c:v>5664.5285714285719</c:v>
                </c:pt>
                <c:pt idx="6">
                  <c:v>5626</c:v>
                </c:pt>
                <c:pt idx="7">
                  <c:v>5583.3285714285721</c:v>
                </c:pt>
                <c:pt idx="8">
                  <c:v>5536.9285714285716</c:v>
                </c:pt>
                <c:pt idx="9">
                  <c:v>5486.8000000000011</c:v>
                </c:pt>
                <c:pt idx="10">
                  <c:v>5432.5285714285719</c:v>
                </c:pt>
                <c:pt idx="11">
                  <c:v>5374.5285714285719</c:v>
                </c:pt>
                <c:pt idx="12">
                  <c:v>5312.8</c:v>
                </c:pt>
                <c:pt idx="13">
                  <c:v>5246.9285714285716</c:v>
                </c:pt>
                <c:pt idx="14">
                  <c:v>5177.3285714285721</c:v>
                </c:pt>
                <c:pt idx="15">
                  <c:v>5104.0000000000009</c:v>
                </c:pt>
                <c:pt idx="16">
                  <c:v>5026.5285714285719</c:v>
                </c:pt>
                <c:pt idx="17">
                  <c:v>4945.3285714285721</c:v>
                </c:pt>
                <c:pt idx="18">
                  <c:v>4860.4000000000005</c:v>
                </c:pt>
                <c:pt idx="19">
                  <c:v>4771.3285714285712</c:v>
                </c:pt>
                <c:pt idx="20">
                  <c:v>4678.528571428571</c:v>
                </c:pt>
                <c:pt idx="21">
                  <c:v>4582</c:v>
                </c:pt>
                <c:pt idx="22">
                  <c:v>4481.3285714285712</c:v>
                </c:pt>
                <c:pt idx="23">
                  <c:v>4376.9285714285716</c:v>
                </c:pt>
                <c:pt idx="24">
                  <c:v>4268.8</c:v>
                </c:pt>
              </c:numCache>
            </c:numRef>
          </c:val>
          <c:smooth val="0"/>
          <c:extLst>
            <c:ext xmlns:c16="http://schemas.microsoft.com/office/drawing/2014/chart" uri="{C3380CC4-5D6E-409C-BE32-E72D297353CC}">
              <c16:uniqueId val="{00000003-50C0-48BC-A3A1-9FED0C8061DB}"/>
            </c:ext>
          </c:extLst>
        </c:ser>
        <c:dLbls>
          <c:showLegendKey val="0"/>
          <c:showVal val="0"/>
          <c:showCatName val="0"/>
          <c:showSerName val="0"/>
          <c:showPercent val="0"/>
          <c:showBubbleSize val="0"/>
        </c:dLbls>
        <c:marker val="1"/>
        <c:smooth val="0"/>
        <c:axId val="259105336"/>
        <c:axId val="259105728"/>
      </c:lineChart>
      <c:catAx>
        <c:axId val="259105336"/>
        <c:scaling>
          <c:orientation val="minMax"/>
        </c:scaling>
        <c:delete val="0"/>
        <c:axPos val="b"/>
        <c:title>
          <c:tx>
            <c:rich>
              <a:bodyPr rot="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年度（年）</a:t>
                </a:r>
              </a:p>
            </c:rich>
          </c:tx>
          <c:layout/>
          <c:overlay val="0"/>
          <c:spPr>
            <a:noFill/>
            <a:ln>
              <a:noFill/>
            </a:ln>
            <a:effectLst/>
          </c:spPr>
          <c:txPr>
            <a:bodyPr rot="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59105728"/>
        <c:crosses val="autoZero"/>
        <c:auto val="1"/>
        <c:lblAlgn val="ctr"/>
        <c:lblOffset val="100"/>
        <c:noMultiLvlLbl val="0"/>
      </c:catAx>
      <c:valAx>
        <c:axId val="2591057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人口（人）もしくは処理水量（</a:t>
                </a:r>
                <a:r>
                  <a:rPr lang="en-US" altLang="ja-JP"/>
                  <a:t>m3/</a:t>
                </a:r>
                <a:r>
                  <a:rPr lang="ja-JP" altLang="en-US"/>
                  <a:t>日）</a:t>
                </a:r>
              </a:p>
            </c:rich>
          </c:tx>
          <c:layout/>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59105336"/>
        <c:crosses val="autoZero"/>
        <c:crossBetween val="between"/>
      </c:valAx>
      <c:catAx>
        <c:axId val="259106120"/>
        <c:scaling>
          <c:orientation val="minMax"/>
        </c:scaling>
        <c:delete val="1"/>
        <c:axPos val="b"/>
        <c:numFmt formatCode="General" sourceLinked="1"/>
        <c:majorTickMark val="out"/>
        <c:minorTickMark val="none"/>
        <c:tickLblPos val="nextTo"/>
        <c:crossAx val="259106512"/>
        <c:crosses val="autoZero"/>
        <c:auto val="1"/>
        <c:lblAlgn val="ctr"/>
        <c:lblOffset val="100"/>
        <c:noMultiLvlLbl val="0"/>
      </c:catAx>
      <c:valAx>
        <c:axId val="259106512"/>
        <c:scaling>
          <c:orientation val="minMax"/>
        </c:scaling>
        <c:delete val="0"/>
        <c:axPos val="r"/>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稼働率（％）</a:t>
                </a:r>
              </a:p>
            </c:rich>
          </c:tx>
          <c:layout/>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59106120"/>
        <c:crosses val="max"/>
        <c:crossBetween val="between"/>
      </c:valAx>
      <c:spPr>
        <a:noFill/>
        <a:ln>
          <a:noFill/>
        </a:ln>
        <a:effectLst/>
      </c:spPr>
    </c:plotArea>
    <c:legend>
      <c:legendPos val="b"/>
      <c:layout>
        <c:manualLayout>
          <c:xMode val="edge"/>
          <c:yMode val="edge"/>
          <c:x val="0.11683421481862501"/>
          <c:y val="2.3726305045202699E-2"/>
          <c:w val="0.52842565295451804"/>
          <c:h val="0.149306649168854"/>
        </c:manualLayout>
      </c:layout>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ja-JP"/>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62762987557401"/>
          <c:y val="0.134259259259259"/>
          <c:w val="0.78076640715163104"/>
          <c:h val="0.68484543598716796"/>
        </c:manualLayout>
      </c:layout>
      <c:barChart>
        <c:barDir val="col"/>
        <c:grouping val="clustered"/>
        <c:varyColors val="0"/>
        <c:ser>
          <c:idx val="2"/>
          <c:order val="2"/>
          <c:tx>
            <c:strRef>
              <c:f>将来フレーム!$B$11</c:f>
              <c:strCache>
                <c:ptCount val="1"/>
                <c:pt idx="0">
                  <c:v>B下水処理場稼働率（％）</c:v>
                </c:pt>
              </c:strCache>
            </c:strRef>
          </c:tx>
          <c:spPr>
            <a:solidFill>
              <a:schemeClr val="accent4">
                <a:lumMod val="20000"/>
                <a:lumOff val="80000"/>
              </a:schemeClr>
            </a:solidFill>
            <a:ln>
              <a:noFill/>
            </a:ln>
            <a:effectLst/>
          </c:spPr>
          <c:invertIfNegative val="0"/>
          <c:cat>
            <c:strRef>
              <c:f>将来フレーム!$C$2:$AA$2</c:f>
              <c:strCache>
                <c:ptCount val="25"/>
                <c:pt idx="0">
                  <c:v>1（現在）</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strCache>
            </c:strRef>
          </c:cat>
          <c:val>
            <c:numRef>
              <c:f>将来フレーム!$C$11:$AA$11</c:f>
              <c:numCache>
                <c:formatCode>0%</c:formatCode>
                <c:ptCount val="25"/>
                <c:pt idx="0">
                  <c:v>0.43191489361702129</c:v>
                </c:pt>
                <c:pt idx="1">
                  <c:v>0.43049574468085106</c:v>
                </c:pt>
                <c:pt idx="2">
                  <c:v>0.42876808510638298</c:v>
                </c:pt>
                <c:pt idx="3">
                  <c:v>0.42673191489361706</c:v>
                </c:pt>
                <c:pt idx="4">
                  <c:v>0.42444893617021279</c:v>
                </c:pt>
                <c:pt idx="5">
                  <c:v>0.42185744680851062</c:v>
                </c:pt>
                <c:pt idx="6">
                  <c:v>0.4189574468085106</c:v>
                </c:pt>
                <c:pt idx="7">
                  <c:v>0.41581063829787235</c:v>
                </c:pt>
                <c:pt idx="8">
                  <c:v>0.41235531914893614</c:v>
                </c:pt>
                <c:pt idx="9">
                  <c:v>0.40859148936170214</c:v>
                </c:pt>
                <c:pt idx="10">
                  <c:v>0.40458085106382979</c:v>
                </c:pt>
                <c:pt idx="11">
                  <c:v>0.4002617021276596</c:v>
                </c:pt>
                <c:pt idx="12">
                  <c:v>0.39563404255319151</c:v>
                </c:pt>
                <c:pt idx="13">
                  <c:v>0.39075957446808507</c:v>
                </c:pt>
                <c:pt idx="14">
                  <c:v>0.38557659574468084</c:v>
                </c:pt>
                <c:pt idx="15">
                  <c:v>0.38008510638297877</c:v>
                </c:pt>
                <c:pt idx="16">
                  <c:v>0.37434680851063828</c:v>
                </c:pt>
                <c:pt idx="17">
                  <c:v>0.36830000000000002</c:v>
                </c:pt>
                <c:pt idx="18">
                  <c:v>0.36194468085106385</c:v>
                </c:pt>
                <c:pt idx="19">
                  <c:v>0.35534255319148933</c:v>
                </c:pt>
                <c:pt idx="20">
                  <c:v>0.34843191489361702</c:v>
                </c:pt>
                <c:pt idx="21">
                  <c:v>0.34121276595744682</c:v>
                </c:pt>
                <c:pt idx="22">
                  <c:v>0.33374680851063826</c:v>
                </c:pt>
                <c:pt idx="23">
                  <c:v>0.32597234042553191</c:v>
                </c:pt>
                <c:pt idx="24">
                  <c:v>0.31788936170212767</c:v>
                </c:pt>
              </c:numCache>
            </c:numRef>
          </c:val>
          <c:extLst>
            <c:ext xmlns:c16="http://schemas.microsoft.com/office/drawing/2014/chart" uri="{C3380CC4-5D6E-409C-BE32-E72D297353CC}">
              <c16:uniqueId val="{00000000-205A-4AEA-8A4A-1FA3ED36772C}"/>
            </c:ext>
          </c:extLst>
        </c:ser>
        <c:dLbls>
          <c:showLegendKey val="0"/>
          <c:showVal val="0"/>
          <c:showCatName val="0"/>
          <c:showSerName val="0"/>
          <c:showPercent val="0"/>
          <c:showBubbleSize val="0"/>
        </c:dLbls>
        <c:gapWidth val="219"/>
        <c:axId val="259108080"/>
        <c:axId val="259108472"/>
      </c:barChart>
      <c:lineChart>
        <c:grouping val="standard"/>
        <c:varyColors val="0"/>
        <c:ser>
          <c:idx val="0"/>
          <c:order val="0"/>
          <c:tx>
            <c:strRef>
              <c:f>将来フレーム!$B$5</c:f>
              <c:strCache>
                <c:ptCount val="1"/>
                <c:pt idx="0">
                  <c:v>B処理区内人口（人）</c:v>
                </c:pt>
              </c:strCache>
            </c:strRef>
          </c:tx>
          <c:spPr>
            <a:ln w="28575" cap="rnd">
              <a:solidFill>
                <a:schemeClr val="accent1"/>
              </a:solidFill>
              <a:round/>
            </a:ln>
            <a:effectLst/>
          </c:spPr>
          <c:marker>
            <c:symbol val="diamond"/>
            <c:size val="5"/>
            <c:spPr>
              <a:solidFill>
                <a:schemeClr val="accent1"/>
              </a:solidFill>
              <a:ln w="9525">
                <a:solidFill>
                  <a:schemeClr val="accent1"/>
                </a:solidFill>
              </a:ln>
              <a:effectLst/>
            </c:spPr>
          </c:marker>
          <c:cat>
            <c:strRef>
              <c:f>将来フレーム!$C$2:$AA$2</c:f>
              <c:strCache>
                <c:ptCount val="25"/>
                <c:pt idx="0">
                  <c:v>1（現在）</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strCache>
            </c:strRef>
          </c:cat>
          <c:val>
            <c:numRef>
              <c:f>将来フレーム!$C$5:$AA$5</c:f>
              <c:numCache>
                <c:formatCode>#,##0_);[Red]\(#,##0\)</c:formatCode>
                <c:ptCount val="25"/>
                <c:pt idx="0">
                  <c:v>7000</c:v>
                </c:pt>
                <c:pt idx="1">
                  <c:v>6977</c:v>
                </c:pt>
                <c:pt idx="2">
                  <c:v>6949</c:v>
                </c:pt>
                <c:pt idx="3">
                  <c:v>6916</c:v>
                </c:pt>
                <c:pt idx="4">
                  <c:v>6879</c:v>
                </c:pt>
                <c:pt idx="5">
                  <c:v>6837</c:v>
                </c:pt>
                <c:pt idx="6">
                  <c:v>6790</c:v>
                </c:pt>
                <c:pt idx="7">
                  <c:v>6739</c:v>
                </c:pt>
                <c:pt idx="8">
                  <c:v>6683</c:v>
                </c:pt>
                <c:pt idx="9">
                  <c:v>6622</c:v>
                </c:pt>
                <c:pt idx="10">
                  <c:v>6557</c:v>
                </c:pt>
                <c:pt idx="11">
                  <c:v>6487</c:v>
                </c:pt>
                <c:pt idx="12">
                  <c:v>6412</c:v>
                </c:pt>
                <c:pt idx="13">
                  <c:v>6333</c:v>
                </c:pt>
                <c:pt idx="14">
                  <c:v>6249</c:v>
                </c:pt>
                <c:pt idx="15">
                  <c:v>6160</c:v>
                </c:pt>
                <c:pt idx="16">
                  <c:v>6067</c:v>
                </c:pt>
                <c:pt idx="17">
                  <c:v>5969</c:v>
                </c:pt>
                <c:pt idx="18">
                  <c:v>5866</c:v>
                </c:pt>
                <c:pt idx="19">
                  <c:v>5759</c:v>
                </c:pt>
                <c:pt idx="20">
                  <c:v>5647</c:v>
                </c:pt>
                <c:pt idx="21">
                  <c:v>5530</c:v>
                </c:pt>
                <c:pt idx="22">
                  <c:v>5409</c:v>
                </c:pt>
                <c:pt idx="23">
                  <c:v>5283</c:v>
                </c:pt>
                <c:pt idx="24">
                  <c:v>5152</c:v>
                </c:pt>
              </c:numCache>
            </c:numRef>
          </c:val>
          <c:smooth val="0"/>
          <c:extLst>
            <c:ext xmlns:c16="http://schemas.microsoft.com/office/drawing/2014/chart" uri="{C3380CC4-5D6E-409C-BE32-E72D297353CC}">
              <c16:uniqueId val="{00000001-205A-4AEA-8A4A-1FA3ED36772C}"/>
            </c:ext>
          </c:extLst>
        </c:ser>
        <c:ser>
          <c:idx val="1"/>
          <c:order val="1"/>
          <c:tx>
            <c:strRef>
              <c:f>将来フレーム!$B$8</c:f>
              <c:strCache>
                <c:ptCount val="1"/>
                <c:pt idx="0">
                  <c:v>B処理区（日平均）（m3/日）</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将来フレーム!$C$2:$AA$2</c:f>
              <c:strCache>
                <c:ptCount val="25"/>
                <c:pt idx="0">
                  <c:v>1（現在）</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strCache>
            </c:strRef>
          </c:cat>
          <c:val>
            <c:numRef>
              <c:f>将来フレーム!$C$8:$AA$8</c:f>
              <c:numCache>
                <c:formatCode>#,##0_);[Red]\(#,##0\)</c:formatCode>
                <c:ptCount val="25"/>
                <c:pt idx="0">
                  <c:v>2030</c:v>
                </c:pt>
                <c:pt idx="1">
                  <c:v>2023.33</c:v>
                </c:pt>
                <c:pt idx="2">
                  <c:v>2015.21</c:v>
                </c:pt>
                <c:pt idx="3">
                  <c:v>2005.64</c:v>
                </c:pt>
                <c:pt idx="4">
                  <c:v>1994.91</c:v>
                </c:pt>
                <c:pt idx="5">
                  <c:v>1982.73</c:v>
                </c:pt>
                <c:pt idx="6">
                  <c:v>1969.1</c:v>
                </c:pt>
                <c:pt idx="7">
                  <c:v>1954.31</c:v>
                </c:pt>
                <c:pt idx="8">
                  <c:v>1938.07</c:v>
                </c:pt>
                <c:pt idx="9">
                  <c:v>1920.38</c:v>
                </c:pt>
                <c:pt idx="10">
                  <c:v>1901.53</c:v>
                </c:pt>
                <c:pt idx="11">
                  <c:v>1881.23</c:v>
                </c:pt>
                <c:pt idx="12">
                  <c:v>1859.48</c:v>
                </c:pt>
                <c:pt idx="13">
                  <c:v>1836.57</c:v>
                </c:pt>
                <c:pt idx="14">
                  <c:v>1812.21</c:v>
                </c:pt>
                <c:pt idx="15">
                  <c:v>1786.4</c:v>
                </c:pt>
                <c:pt idx="16">
                  <c:v>1759.43</c:v>
                </c:pt>
                <c:pt idx="17">
                  <c:v>1731.01</c:v>
                </c:pt>
                <c:pt idx="18">
                  <c:v>1701.14</c:v>
                </c:pt>
                <c:pt idx="19">
                  <c:v>1670.11</c:v>
                </c:pt>
                <c:pt idx="20">
                  <c:v>1637.63</c:v>
                </c:pt>
                <c:pt idx="21">
                  <c:v>1603.7</c:v>
                </c:pt>
                <c:pt idx="22">
                  <c:v>1568.61</c:v>
                </c:pt>
                <c:pt idx="23">
                  <c:v>1532.07</c:v>
                </c:pt>
                <c:pt idx="24">
                  <c:v>1494.08</c:v>
                </c:pt>
              </c:numCache>
            </c:numRef>
          </c:val>
          <c:smooth val="0"/>
          <c:extLst>
            <c:ext xmlns:c16="http://schemas.microsoft.com/office/drawing/2014/chart" uri="{C3380CC4-5D6E-409C-BE32-E72D297353CC}">
              <c16:uniqueId val="{00000002-205A-4AEA-8A4A-1FA3ED36772C}"/>
            </c:ext>
          </c:extLst>
        </c:ser>
        <c:ser>
          <c:idx val="3"/>
          <c:order val="3"/>
          <c:tx>
            <c:strRef>
              <c:f>将来フレーム!$B$9</c:f>
              <c:strCache>
                <c:ptCount val="1"/>
                <c:pt idx="0">
                  <c:v>B処理区（日最大）（m3/日）</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val>
            <c:numRef>
              <c:f>将来フレーム!$C$9:$AA$9</c:f>
              <c:numCache>
                <c:formatCode>#,##0_);[Red]\(#,##0\)</c:formatCode>
                <c:ptCount val="25"/>
                <c:pt idx="0">
                  <c:v>2900</c:v>
                </c:pt>
                <c:pt idx="1">
                  <c:v>2890.4714285714285</c:v>
                </c:pt>
                <c:pt idx="2">
                  <c:v>2878.8714285714286</c:v>
                </c:pt>
                <c:pt idx="3">
                  <c:v>2865.2000000000003</c:v>
                </c:pt>
                <c:pt idx="4">
                  <c:v>2849.8714285714291</c:v>
                </c:pt>
                <c:pt idx="5">
                  <c:v>2832.471428571429</c:v>
                </c:pt>
                <c:pt idx="6">
                  <c:v>2813</c:v>
                </c:pt>
                <c:pt idx="7">
                  <c:v>2791.8714285714286</c:v>
                </c:pt>
                <c:pt idx="8">
                  <c:v>2768.6714285714288</c:v>
                </c:pt>
                <c:pt idx="9">
                  <c:v>2743.4000000000005</c:v>
                </c:pt>
                <c:pt idx="10">
                  <c:v>2716.4714285714285</c:v>
                </c:pt>
                <c:pt idx="11">
                  <c:v>2687.471428571429</c:v>
                </c:pt>
                <c:pt idx="12">
                  <c:v>2656.4</c:v>
                </c:pt>
                <c:pt idx="13">
                  <c:v>2623.6714285714288</c:v>
                </c:pt>
                <c:pt idx="14">
                  <c:v>2588.8714285714286</c:v>
                </c:pt>
                <c:pt idx="15">
                  <c:v>2552.0000000000005</c:v>
                </c:pt>
                <c:pt idx="16">
                  <c:v>2513.471428571429</c:v>
                </c:pt>
                <c:pt idx="17">
                  <c:v>2472.8714285714286</c:v>
                </c:pt>
                <c:pt idx="18">
                  <c:v>2430.2000000000003</c:v>
                </c:pt>
                <c:pt idx="19">
                  <c:v>2385.8714285714286</c:v>
                </c:pt>
                <c:pt idx="20">
                  <c:v>2339.471428571429</c:v>
                </c:pt>
                <c:pt idx="21">
                  <c:v>2291</c:v>
                </c:pt>
                <c:pt idx="22">
                  <c:v>2240.8714285714286</c:v>
                </c:pt>
                <c:pt idx="23">
                  <c:v>2188.6714285714288</c:v>
                </c:pt>
                <c:pt idx="24">
                  <c:v>2134.4</c:v>
                </c:pt>
              </c:numCache>
            </c:numRef>
          </c:val>
          <c:smooth val="0"/>
          <c:extLst>
            <c:ext xmlns:c16="http://schemas.microsoft.com/office/drawing/2014/chart" uri="{C3380CC4-5D6E-409C-BE32-E72D297353CC}">
              <c16:uniqueId val="{00000003-205A-4AEA-8A4A-1FA3ED36772C}"/>
            </c:ext>
          </c:extLst>
        </c:ser>
        <c:dLbls>
          <c:showLegendKey val="0"/>
          <c:showVal val="0"/>
          <c:showCatName val="0"/>
          <c:showSerName val="0"/>
          <c:showPercent val="0"/>
          <c:showBubbleSize val="0"/>
        </c:dLbls>
        <c:marker val="1"/>
        <c:smooth val="0"/>
        <c:axId val="259107296"/>
        <c:axId val="259107688"/>
      </c:lineChart>
      <c:catAx>
        <c:axId val="259107296"/>
        <c:scaling>
          <c:orientation val="minMax"/>
        </c:scaling>
        <c:delete val="0"/>
        <c:axPos val="b"/>
        <c:title>
          <c:tx>
            <c:rich>
              <a:bodyPr rot="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年度（年）</a:t>
                </a:r>
              </a:p>
            </c:rich>
          </c:tx>
          <c:layout/>
          <c:overlay val="0"/>
          <c:spPr>
            <a:noFill/>
            <a:ln>
              <a:noFill/>
            </a:ln>
            <a:effectLst/>
          </c:spPr>
          <c:txPr>
            <a:bodyPr rot="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59107688"/>
        <c:crosses val="autoZero"/>
        <c:auto val="1"/>
        <c:lblAlgn val="ctr"/>
        <c:lblOffset val="100"/>
        <c:noMultiLvlLbl val="0"/>
      </c:catAx>
      <c:valAx>
        <c:axId val="2591076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人口（人）もしくは処理水量（</a:t>
                </a:r>
                <a:r>
                  <a:rPr lang="en-US" altLang="ja-JP"/>
                  <a:t>m3/</a:t>
                </a:r>
                <a:r>
                  <a:rPr lang="ja-JP" altLang="en-US"/>
                  <a:t>日）</a:t>
                </a:r>
              </a:p>
            </c:rich>
          </c:tx>
          <c:layout/>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59107296"/>
        <c:crosses val="autoZero"/>
        <c:crossBetween val="between"/>
      </c:valAx>
      <c:catAx>
        <c:axId val="259108080"/>
        <c:scaling>
          <c:orientation val="minMax"/>
        </c:scaling>
        <c:delete val="1"/>
        <c:axPos val="b"/>
        <c:numFmt formatCode="General" sourceLinked="1"/>
        <c:majorTickMark val="out"/>
        <c:minorTickMark val="none"/>
        <c:tickLblPos val="nextTo"/>
        <c:crossAx val="259108472"/>
        <c:crosses val="autoZero"/>
        <c:auto val="1"/>
        <c:lblAlgn val="ctr"/>
        <c:lblOffset val="100"/>
        <c:noMultiLvlLbl val="0"/>
      </c:catAx>
      <c:valAx>
        <c:axId val="259108472"/>
        <c:scaling>
          <c:orientation val="minMax"/>
        </c:scaling>
        <c:delete val="0"/>
        <c:axPos val="r"/>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稼働率（％）</a:t>
                </a:r>
              </a:p>
            </c:rich>
          </c:tx>
          <c:layout/>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59108080"/>
        <c:crosses val="max"/>
        <c:crossBetween val="between"/>
      </c:valAx>
      <c:spPr>
        <a:noFill/>
        <a:ln>
          <a:noFill/>
        </a:ln>
        <a:effectLst/>
      </c:spPr>
    </c:plotArea>
    <c:legend>
      <c:legendPos val="b"/>
      <c:layout>
        <c:manualLayout>
          <c:xMode val="edge"/>
          <c:yMode val="edge"/>
          <c:x val="0.11683421481862501"/>
          <c:y val="2.3726305045202699E-2"/>
          <c:w val="0.52052010605477905"/>
          <c:h val="0.149306649168854"/>
        </c:manualLayout>
      </c:layout>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ja-JP"/>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r>
              <a:rPr lang="ja-JP" altLang="en-US"/>
              <a:t>「既存施設の更新」事業費の推移</a:t>
            </a:r>
          </a:p>
        </c:rich>
      </c:tx>
      <c:layout/>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810619581643702E-2"/>
          <c:y val="0.19513837989861199"/>
          <c:w val="0.89756182420196595"/>
          <c:h val="0.71479280886635099"/>
        </c:manualLayout>
      </c:layout>
      <c:barChart>
        <c:barDir val="col"/>
        <c:grouping val="stacked"/>
        <c:varyColors val="0"/>
        <c:ser>
          <c:idx val="0"/>
          <c:order val="0"/>
          <c:tx>
            <c:strRef>
              <c:f>'経済性比較、エネルギー、GHG'!$A$19</c:f>
              <c:strCache>
                <c:ptCount val="1"/>
                <c:pt idx="0">
                  <c:v>A下水処理場維持管理費</c:v>
                </c:pt>
              </c:strCache>
            </c:strRef>
          </c:tx>
          <c:spPr>
            <a:solidFill>
              <a:schemeClr val="accent1"/>
            </a:solidFill>
            <a:ln>
              <a:noFill/>
            </a:ln>
            <a:effectLst/>
          </c:spPr>
          <c:invertIfNegative val="0"/>
          <c:cat>
            <c:numRef>
              <c:f>'経済性比較、エネルギー、GHG'!$E$10:$AC$10</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'経済性比較、エネルギー、GHG'!$E$19:$AC$19</c:f>
              <c:numCache>
                <c:formatCode>#,##0_);[Red]\(#,##0\)</c:formatCode>
                <c:ptCount val="25"/>
                <c:pt idx="0">
                  <c:v>111.1425</c:v>
                </c:pt>
                <c:pt idx="1">
                  <c:v>111.13390410620862</c:v>
                </c:pt>
                <c:pt idx="2">
                  <c:v>111.12362518041571</c:v>
                </c:pt>
                <c:pt idx="3">
                  <c:v>111.11164341638622</c:v>
                </c:pt>
                <c:pt idx="4">
                  <c:v>111.09774975779159</c:v>
                </c:pt>
                <c:pt idx="5">
                  <c:v>111.08210073073104</c:v>
                </c:pt>
                <c:pt idx="6">
                  <c:v>111.06466508050694</c:v>
                </c:pt>
                <c:pt idx="7">
                  <c:v>111.04521795579592</c:v>
                </c:pt>
                <c:pt idx="8">
                  <c:v>111.02390607957031</c:v>
                </c:pt>
                <c:pt idx="9">
                  <c:v>111.00068466227444</c:v>
                </c:pt>
                <c:pt idx="10">
                  <c:v>110.97530927151917</c:v>
                </c:pt>
                <c:pt idx="11">
                  <c:v>65.913218400000005</c:v>
                </c:pt>
                <c:pt idx="12">
                  <c:v>65.895708061141789</c:v>
                </c:pt>
                <c:pt idx="13">
                  <c:v>65.876801932363819</c:v>
                </c:pt>
                <c:pt idx="14">
                  <c:v>65.856572009586984</c:v>
                </c:pt>
                <c:pt idx="15">
                  <c:v>65.834968860583999</c:v>
                </c:pt>
                <c:pt idx="16">
                  <c:v>65.811813262410837</c:v>
                </c:pt>
                <c:pt idx="17">
                  <c:v>65.78716592946661</c:v>
                </c:pt>
                <c:pt idx="18">
                  <c:v>65.760960136394516</c:v>
                </c:pt>
                <c:pt idx="19">
                  <c:v>65.732990928458889</c:v>
                </c:pt>
                <c:pt idx="20">
                  <c:v>65.703303004569065</c:v>
                </c:pt>
                <c:pt idx="21">
                  <c:v>65.671805456455431</c:v>
                </c:pt>
                <c:pt idx="22">
                  <c:v>65.638257798559522</c:v>
                </c:pt>
                <c:pt idx="23">
                  <c:v>65.602680785948422</c:v>
                </c:pt>
                <c:pt idx="24">
                  <c:v>65.564948249034657</c:v>
                </c:pt>
              </c:numCache>
            </c:numRef>
          </c:val>
          <c:extLst>
            <c:ext xmlns:c16="http://schemas.microsoft.com/office/drawing/2014/chart" uri="{C3380CC4-5D6E-409C-BE32-E72D297353CC}">
              <c16:uniqueId val="{00000000-E98A-406B-8F79-987A364208AE}"/>
            </c:ext>
          </c:extLst>
        </c:ser>
        <c:ser>
          <c:idx val="1"/>
          <c:order val="1"/>
          <c:tx>
            <c:strRef>
              <c:f>'経済性比較、エネルギー、GHG'!$A$20</c:f>
              <c:strCache>
                <c:ptCount val="1"/>
                <c:pt idx="0">
                  <c:v>B下水処理場維持管理費</c:v>
                </c:pt>
              </c:strCache>
            </c:strRef>
          </c:tx>
          <c:spPr>
            <a:solidFill>
              <a:schemeClr val="accent2"/>
            </a:solidFill>
            <a:ln>
              <a:noFill/>
            </a:ln>
            <a:effectLst/>
          </c:spPr>
          <c:invertIfNegative val="0"/>
          <c:cat>
            <c:numRef>
              <c:f>'経済性比較、エネルギー、GHG'!$E$10:$AC$10</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'経済性比較、エネルギー、GHG'!$E$20:$AC$20</c:f>
              <c:numCache>
                <c:formatCode>#,##0_);[Red]\(#,##0\)</c:formatCode>
                <c:ptCount val="25"/>
                <c:pt idx="0">
                  <c:v>62.98075</c:v>
                </c:pt>
                <c:pt idx="1">
                  <c:v>62.977848182355523</c:v>
                </c:pt>
                <c:pt idx="2">
                  <c:v>62.974302777379549</c:v>
                </c:pt>
                <c:pt idx="3">
                  <c:v>62.970106136429749</c:v>
                </c:pt>
                <c:pt idx="4">
                  <c:v>62.965377268230924</c:v>
                </c:pt>
                <c:pt idx="5">
                  <c:v>55.000930200000006</c:v>
                </c:pt>
                <c:pt idx="6">
                  <c:v>54.995618831671919</c:v>
                </c:pt>
                <c:pt idx="7">
                  <c:v>54.98981426583974</c:v>
                </c:pt>
                <c:pt idx="8">
                  <c:v>54.983390521781331</c:v>
                </c:pt>
                <c:pt idx="9">
                  <c:v>54.976332553998759</c:v>
                </c:pt>
                <c:pt idx="10">
                  <c:v>54.968740868140749</c:v>
                </c:pt>
                <c:pt idx="11">
                  <c:v>54.960481770304796</c:v>
                </c:pt>
                <c:pt idx="12">
                  <c:v>54.951534649012309</c:v>
                </c:pt>
                <c:pt idx="13">
                  <c:v>54.941998061839193</c:v>
                </c:pt>
                <c:pt idx="14">
                  <c:v>54.931728357366964</c:v>
                </c:pt>
                <c:pt idx="15">
                  <c:v>54.920697777177168</c:v>
                </c:pt>
                <c:pt idx="16">
                  <c:v>54.909002265061567</c:v>
                </c:pt>
                <c:pt idx="17">
                  <c:v>54.8964851117384</c:v>
                </c:pt>
                <c:pt idx="18">
                  <c:v>54.883109009428345</c:v>
                </c:pt>
                <c:pt idx="19">
                  <c:v>54.868965934121334</c:v>
                </c:pt>
                <c:pt idx="20">
                  <c:v>54.853881684264287</c:v>
                </c:pt>
                <c:pt idx="21">
                  <c:v>54.837805675870541</c:v>
                </c:pt>
                <c:pt idx="22">
                  <c:v>54.820823383807181</c:v>
                </c:pt>
                <c:pt idx="23">
                  <c:v>54.802736504803036</c:v>
                </c:pt>
                <c:pt idx="24">
                  <c:v>54.783475204424811</c:v>
                </c:pt>
              </c:numCache>
            </c:numRef>
          </c:val>
          <c:extLst>
            <c:ext xmlns:c16="http://schemas.microsoft.com/office/drawing/2014/chart" uri="{C3380CC4-5D6E-409C-BE32-E72D297353CC}">
              <c16:uniqueId val="{00000001-E98A-406B-8F79-987A364208AE}"/>
            </c:ext>
          </c:extLst>
        </c:ser>
        <c:ser>
          <c:idx val="2"/>
          <c:order val="2"/>
          <c:tx>
            <c:strRef>
              <c:f>'経済性比較、エネルギー、GHG'!$A$21</c:f>
              <c:strCache>
                <c:ptCount val="1"/>
                <c:pt idx="0">
                  <c:v>A下水処理場更新費</c:v>
                </c:pt>
              </c:strCache>
            </c:strRef>
          </c:tx>
          <c:spPr>
            <a:solidFill>
              <a:schemeClr val="accent3"/>
            </a:solidFill>
            <a:ln>
              <a:noFill/>
            </a:ln>
            <a:effectLst/>
          </c:spPr>
          <c:invertIfNegative val="0"/>
          <c:cat>
            <c:numRef>
              <c:f>'経済性比較、エネルギー、GHG'!$E$10:$AC$10</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'経済性比較、エネルギー、GHG'!$E$21:$AC$21</c:f>
              <c:numCache>
                <c:formatCode>General</c:formatCode>
                <c:ptCount val="25"/>
                <c:pt idx="10" formatCode="#,##0_);[Red]\(#,##0\)">
                  <c:v>1169.1798809010888</c:v>
                </c:pt>
              </c:numCache>
            </c:numRef>
          </c:val>
          <c:extLst>
            <c:ext xmlns:c16="http://schemas.microsoft.com/office/drawing/2014/chart" uri="{C3380CC4-5D6E-409C-BE32-E72D297353CC}">
              <c16:uniqueId val="{00000002-E98A-406B-8F79-987A364208AE}"/>
            </c:ext>
          </c:extLst>
        </c:ser>
        <c:ser>
          <c:idx val="3"/>
          <c:order val="3"/>
          <c:tx>
            <c:v>B下水処理場更新費</c:v>
          </c:tx>
          <c:spPr>
            <a:solidFill>
              <a:schemeClr val="accent4"/>
            </a:solidFill>
            <a:ln>
              <a:noFill/>
            </a:ln>
            <a:effectLst/>
          </c:spPr>
          <c:invertIfNegative val="0"/>
          <c:cat>
            <c:numRef>
              <c:f>'経済性比較、エネルギー、GHG'!$E$10:$AC$10</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'経済性比較、エネルギー、GHG'!$E$22:$AC$22</c:f>
              <c:numCache>
                <c:formatCode>General</c:formatCode>
                <c:ptCount val="25"/>
                <c:pt idx="4" formatCode="#,##0_);[Red]\(#,##0\)">
                  <c:v>1474.8990031523317</c:v>
                </c:pt>
              </c:numCache>
            </c:numRef>
          </c:val>
          <c:extLst>
            <c:ext xmlns:c16="http://schemas.microsoft.com/office/drawing/2014/chart" uri="{C3380CC4-5D6E-409C-BE32-E72D297353CC}">
              <c16:uniqueId val="{00000003-E98A-406B-8F79-987A364208AE}"/>
            </c:ext>
          </c:extLst>
        </c:ser>
        <c:dLbls>
          <c:showLegendKey val="0"/>
          <c:showVal val="0"/>
          <c:showCatName val="0"/>
          <c:showSerName val="0"/>
          <c:showPercent val="0"/>
          <c:showBubbleSize val="0"/>
        </c:dLbls>
        <c:gapWidth val="150"/>
        <c:overlap val="100"/>
        <c:axId val="259109256"/>
        <c:axId val="259109648"/>
      </c:barChart>
      <c:lineChart>
        <c:grouping val="standard"/>
        <c:varyColors val="0"/>
        <c:ser>
          <c:idx val="5"/>
          <c:order val="4"/>
          <c:tx>
            <c:strRef>
              <c:f>'経済性比較、エネルギー、GHG'!$A$24</c:f>
              <c:strCache>
                <c:ptCount val="1"/>
                <c:pt idx="0">
                  <c:v>累計事業費</c:v>
                </c:pt>
              </c:strCache>
            </c:strRef>
          </c:tx>
          <c:spPr>
            <a:ln w="28575" cap="rnd">
              <a:solidFill>
                <a:schemeClr val="accent6"/>
              </a:solidFill>
              <a:round/>
            </a:ln>
            <a:effectLst/>
          </c:spPr>
          <c:marker>
            <c:symbol val="none"/>
          </c:marker>
          <c:val>
            <c:numRef>
              <c:f>'経済性比較、エネルギー、GHG'!$E$24:$AC$24</c:f>
              <c:numCache>
                <c:formatCode>#,##0_);[Red]\(#,##0\)</c:formatCode>
                <c:ptCount val="25"/>
                <c:pt idx="0">
                  <c:v>174.12324999999998</c:v>
                </c:pt>
                <c:pt idx="1">
                  <c:v>348.23500228856415</c:v>
                </c:pt>
                <c:pt idx="2">
                  <c:v>522.33293024635941</c:v>
                </c:pt>
                <c:pt idx="3">
                  <c:v>696.41467979917536</c:v>
                </c:pt>
                <c:pt idx="4">
                  <c:v>2345.3768099775298</c:v>
                </c:pt>
                <c:pt idx="5">
                  <c:v>2511.459840908261</c:v>
                </c:pt>
                <c:pt idx="6">
                  <c:v>2677.5201248204398</c:v>
                </c:pt>
                <c:pt idx="7">
                  <c:v>2843.5551570420757</c:v>
                </c:pt>
                <c:pt idx="8">
                  <c:v>3009.5624536434275</c:v>
                </c:pt>
                <c:pt idx="9">
                  <c:v>3175.5394708597005</c:v>
                </c:pt>
                <c:pt idx="10">
                  <c:v>4510.6634019004487</c:v>
                </c:pt>
                <c:pt idx="11">
                  <c:v>4631.5371020707535</c:v>
                </c:pt>
                <c:pt idx="12">
                  <c:v>4752.3843447809077</c:v>
                </c:pt>
                <c:pt idx="13">
                  <c:v>4873.2031447751106</c:v>
                </c:pt>
                <c:pt idx="14">
                  <c:v>4993.9914451420645</c:v>
                </c:pt>
                <c:pt idx="15">
                  <c:v>5114.7471117798259</c:v>
                </c:pt>
                <c:pt idx="16">
                  <c:v>5235.4679273072979</c:v>
                </c:pt>
                <c:pt idx="17">
                  <c:v>5356.1515783485029</c:v>
                </c:pt>
                <c:pt idx="18">
                  <c:v>5476.7956474943257</c:v>
                </c:pt>
                <c:pt idx="19">
                  <c:v>5597.3976043569064</c:v>
                </c:pt>
                <c:pt idx="20">
                  <c:v>5717.9547890457397</c:v>
                </c:pt>
                <c:pt idx="21">
                  <c:v>5838.4644001780653</c:v>
                </c:pt>
                <c:pt idx="22">
                  <c:v>5958.9234813604317</c:v>
                </c:pt>
                <c:pt idx="23">
                  <c:v>6079.3288986511834</c:v>
                </c:pt>
                <c:pt idx="24">
                  <c:v>6199.6773221046433</c:v>
                </c:pt>
              </c:numCache>
            </c:numRef>
          </c:val>
          <c:smooth val="0"/>
          <c:extLst>
            <c:ext xmlns:c16="http://schemas.microsoft.com/office/drawing/2014/chart" uri="{C3380CC4-5D6E-409C-BE32-E72D297353CC}">
              <c16:uniqueId val="{00000004-E98A-406B-8F79-987A364208AE}"/>
            </c:ext>
          </c:extLst>
        </c:ser>
        <c:dLbls>
          <c:showLegendKey val="0"/>
          <c:showVal val="0"/>
          <c:showCatName val="0"/>
          <c:showSerName val="0"/>
          <c:showPercent val="0"/>
          <c:showBubbleSize val="0"/>
        </c:dLbls>
        <c:marker val="1"/>
        <c:smooth val="0"/>
        <c:axId val="259110040"/>
        <c:axId val="259110432"/>
      </c:lineChart>
      <c:catAx>
        <c:axId val="259109256"/>
        <c:scaling>
          <c:orientation val="minMax"/>
        </c:scaling>
        <c:delete val="0"/>
        <c:axPos val="b"/>
        <c:numFmt formatCode="#,##0_);[Red]\(#,##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59109648"/>
        <c:crosses val="autoZero"/>
        <c:auto val="1"/>
        <c:lblAlgn val="ctr"/>
        <c:lblOffset val="100"/>
        <c:noMultiLvlLbl val="0"/>
      </c:catAx>
      <c:valAx>
        <c:axId val="259109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事業費（百万円）</a:t>
                </a:r>
              </a:p>
            </c:rich>
          </c:tx>
          <c:layout/>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59109256"/>
        <c:crosses val="autoZero"/>
        <c:crossBetween val="between"/>
      </c:valAx>
      <c:catAx>
        <c:axId val="259110040"/>
        <c:scaling>
          <c:orientation val="minMax"/>
        </c:scaling>
        <c:delete val="1"/>
        <c:axPos val="b"/>
        <c:majorTickMark val="out"/>
        <c:minorTickMark val="none"/>
        <c:tickLblPos val="nextTo"/>
        <c:crossAx val="259110432"/>
        <c:crosses val="autoZero"/>
        <c:auto val="1"/>
        <c:lblAlgn val="ctr"/>
        <c:lblOffset val="100"/>
        <c:noMultiLvlLbl val="0"/>
      </c:catAx>
      <c:valAx>
        <c:axId val="259110432"/>
        <c:scaling>
          <c:orientation val="minMax"/>
        </c:scaling>
        <c:delete val="0"/>
        <c:axPos val="r"/>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累計事業費（百万円）</a:t>
                </a:r>
              </a:p>
            </c:rich>
          </c:tx>
          <c:layout/>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59110040"/>
        <c:crosses val="max"/>
        <c:crossBetween val="between"/>
      </c:valAx>
      <c:spPr>
        <a:noFill/>
        <a:ln>
          <a:noFill/>
        </a:ln>
        <a:effectLst/>
      </c:spPr>
    </c:plotArea>
    <c:legend>
      <c:legendPos val="b"/>
      <c:layout>
        <c:manualLayout>
          <c:xMode val="edge"/>
          <c:yMode val="edge"/>
          <c:x val="0.221083444661408"/>
          <c:y val="0.11088814999227301"/>
          <c:w val="0.62221537496434098"/>
          <c:h val="6.5586904775749105E-2"/>
        </c:manualLayout>
      </c:layout>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ja-JP"/>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r>
              <a:rPr lang="ja-JP" altLang="en-US"/>
              <a:t>「処理施設の再編成」事業費の推移</a:t>
            </a:r>
          </a:p>
        </c:rich>
      </c:tx>
      <c:layout>
        <c:manualLayout>
          <c:xMode val="edge"/>
          <c:yMode val="edge"/>
          <c:x val="0.37430112663845599"/>
          <c:y val="2.87023626338502E-2"/>
        </c:manualLayout>
      </c:layout>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4788134123420602E-2"/>
          <c:y val="0.17685185185185201"/>
          <c:w val="0.89825210143809697"/>
          <c:h val="0.73484543598716801"/>
        </c:manualLayout>
      </c:layout>
      <c:barChart>
        <c:barDir val="col"/>
        <c:grouping val="stacked"/>
        <c:varyColors val="0"/>
        <c:ser>
          <c:idx val="0"/>
          <c:order val="0"/>
          <c:tx>
            <c:strRef>
              <c:f>'経済性比較、エネルギー、GHG'!$A$72</c:f>
              <c:strCache>
                <c:ptCount val="1"/>
                <c:pt idx="0">
                  <c:v>A下水処理場維持管理費</c:v>
                </c:pt>
              </c:strCache>
            </c:strRef>
          </c:tx>
          <c:spPr>
            <a:solidFill>
              <a:schemeClr val="accent1"/>
            </a:solidFill>
            <a:ln>
              <a:noFill/>
            </a:ln>
            <a:effectLst/>
          </c:spPr>
          <c:invertIfNegative val="0"/>
          <c:cat>
            <c:numRef>
              <c:f>'経済性比較、エネルギー、GHG'!$E$62:$AC$62</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'経済性比較、エネルギー、GHG'!$E$72:$AC$72</c:f>
              <c:numCache>
                <c:formatCode>#,##0_);[Red]\(#,##0\)</c:formatCode>
                <c:ptCount val="25"/>
                <c:pt idx="0">
                  <c:v>111.1425</c:v>
                </c:pt>
                <c:pt idx="1">
                  <c:v>111.13390410620862</c:v>
                </c:pt>
                <c:pt idx="2">
                  <c:v>111.12362518041571</c:v>
                </c:pt>
                <c:pt idx="3">
                  <c:v>111.11164341638622</c:v>
                </c:pt>
                <c:pt idx="4">
                  <c:v>111.09774975779159</c:v>
                </c:pt>
                <c:pt idx="5">
                  <c:v>112.12292704634696</c:v>
                </c:pt>
                <c:pt idx="6">
                  <c:v>112.10526516767473</c:v>
                </c:pt>
                <c:pt idx="7">
                  <c:v>112.08569959811439</c:v>
                </c:pt>
                <c:pt idx="8">
                  <c:v>112.06418856613918</c:v>
                </c:pt>
                <c:pt idx="9">
                  <c:v>112.04068529660333</c:v>
                </c:pt>
                <c:pt idx="10">
                  <c:v>112.01513764585111</c:v>
                </c:pt>
                <c:pt idx="11">
                  <c:v>78.273957999999993</c:v>
                </c:pt>
                <c:pt idx="12">
                  <c:v>78.253117693586773</c:v>
                </c:pt>
                <c:pt idx="13">
                  <c:v>78.230713457827832</c:v>
                </c:pt>
                <c:pt idx="14">
                  <c:v>78.20669044333836</c:v>
                </c:pt>
                <c:pt idx="15">
                  <c:v>78.180988082270545</c:v>
                </c:pt>
                <c:pt idx="16">
                  <c:v>78.153539502558289</c:v>
                </c:pt>
                <c:pt idx="17">
                  <c:v>78.124270851985543</c:v>
                </c:pt>
                <c:pt idx="18">
                  <c:v>78.093100516073079</c:v>
                </c:pt>
                <c:pt idx="19">
                  <c:v>78.059938210253407</c:v>
                </c:pt>
                <c:pt idx="20">
                  <c:v>78.024683922368482</c:v>
                </c:pt>
                <c:pt idx="21">
                  <c:v>77.987226675917427</c:v>
                </c:pt>
                <c:pt idx="22">
                  <c:v>77.947443077329382</c:v>
                </c:pt>
                <c:pt idx="23">
                  <c:v>77.905195601341987</c:v>
                </c:pt>
                <c:pt idx="24">
                  <c:v>77.860330556659591</c:v>
                </c:pt>
              </c:numCache>
            </c:numRef>
          </c:val>
          <c:extLst>
            <c:ext xmlns:c16="http://schemas.microsoft.com/office/drawing/2014/chart" uri="{C3380CC4-5D6E-409C-BE32-E72D297353CC}">
              <c16:uniqueId val="{00000000-44E6-44F2-B2EC-6DA5E14D586C}"/>
            </c:ext>
          </c:extLst>
        </c:ser>
        <c:ser>
          <c:idx val="1"/>
          <c:order val="1"/>
          <c:tx>
            <c:strRef>
              <c:f>'経済性比較、エネルギー、GHG'!$A$73</c:f>
              <c:strCache>
                <c:ptCount val="1"/>
                <c:pt idx="0">
                  <c:v>B下水処理場維持管理費</c:v>
                </c:pt>
              </c:strCache>
            </c:strRef>
          </c:tx>
          <c:spPr>
            <a:solidFill>
              <a:schemeClr val="accent2"/>
            </a:solidFill>
            <a:ln>
              <a:noFill/>
            </a:ln>
            <a:effectLst/>
          </c:spPr>
          <c:invertIfNegative val="0"/>
          <c:cat>
            <c:numRef>
              <c:f>'経済性比較、エネルギー、GHG'!$E$62:$AC$62</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'経済性比較、エネルギー、GHG'!$E$73:$AC$73</c:f>
              <c:numCache>
                <c:formatCode>#,##0_);[Red]\(#,##0\)</c:formatCode>
                <c:ptCount val="25"/>
                <c:pt idx="0">
                  <c:v>62.98075</c:v>
                </c:pt>
                <c:pt idx="1">
                  <c:v>62.977848182355523</c:v>
                </c:pt>
                <c:pt idx="2">
                  <c:v>62.974302777379549</c:v>
                </c:pt>
                <c:pt idx="3">
                  <c:v>62.970106136429749</c:v>
                </c:pt>
                <c:pt idx="4">
                  <c:v>62.965377268230924</c:v>
                </c:pt>
                <c:pt idx="5">
                  <c:v>0</c:v>
                </c:pt>
              </c:numCache>
            </c:numRef>
          </c:val>
          <c:extLst>
            <c:ext xmlns:c16="http://schemas.microsoft.com/office/drawing/2014/chart" uri="{C3380CC4-5D6E-409C-BE32-E72D297353CC}">
              <c16:uniqueId val="{00000001-44E6-44F2-B2EC-6DA5E14D586C}"/>
            </c:ext>
          </c:extLst>
        </c:ser>
        <c:ser>
          <c:idx val="2"/>
          <c:order val="2"/>
          <c:tx>
            <c:strRef>
              <c:f>'経済性比較、エネルギー、GHG'!$A$74</c:f>
              <c:strCache>
                <c:ptCount val="1"/>
                <c:pt idx="0">
                  <c:v>A下水処理場更新費</c:v>
                </c:pt>
              </c:strCache>
            </c:strRef>
          </c:tx>
          <c:spPr>
            <a:solidFill>
              <a:schemeClr val="accent3"/>
            </a:solidFill>
            <a:ln>
              <a:noFill/>
            </a:ln>
            <a:effectLst/>
          </c:spPr>
          <c:invertIfNegative val="0"/>
          <c:cat>
            <c:numRef>
              <c:f>'経済性比較、エネルギー、GHG'!$E$62:$AC$62</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'経済性比較、エネルギー、GHG'!$E$74:$AC$74</c:f>
              <c:numCache>
                <c:formatCode>General</c:formatCode>
                <c:ptCount val="25"/>
                <c:pt idx="10" formatCode="#,##0_);[Red]\(#,##0\)">
                  <c:v>1309.2903135797353</c:v>
                </c:pt>
              </c:numCache>
            </c:numRef>
          </c:val>
          <c:extLst>
            <c:ext xmlns:c16="http://schemas.microsoft.com/office/drawing/2014/chart" uri="{C3380CC4-5D6E-409C-BE32-E72D297353CC}">
              <c16:uniqueId val="{00000002-44E6-44F2-B2EC-6DA5E14D586C}"/>
            </c:ext>
          </c:extLst>
        </c:ser>
        <c:ser>
          <c:idx val="3"/>
          <c:order val="3"/>
          <c:tx>
            <c:strRef>
              <c:f>'経済性比較、エネルギー、GHG'!$A$75</c:f>
              <c:strCache>
                <c:ptCount val="1"/>
                <c:pt idx="0">
                  <c:v>接続事業実施費</c:v>
                </c:pt>
              </c:strCache>
            </c:strRef>
          </c:tx>
          <c:spPr>
            <a:solidFill>
              <a:schemeClr val="accent4"/>
            </a:solidFill>
            <a:ln>
              <a:noFill/>
            </a:ln>
            <a:effectLst/>
          </c:spPr>
          <c:invertIfNegative val="0"/>
          <c:cat>
            <c:numRef>
              <c:f>'経済性比較、エネルギー、GHG'!$E$62:$AC$62</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'経済性比較、エネルギー、GHG'!$E$75:$AC$75</c:f>
              <c:numCache>
                <c:formatCode>General</c:formatCode>
                <c:ptCount val="25"/>
                <c:pt idx="4">
                  <c:v>407</c:v>
                </c:pt>
              </c:numCache>
            </c:numRef>
          </c:val>
          <c:extLst>
            <c:ext xmlns:c16="http://schemas.microsoft.com/office/drawing/2014/chart" uri="{C3380CC4-5D6E-409C-BE32-E72D297353CC}">
              <c16:uniqueId val="{00000003-44E6-44F2-B2EC-6DA5E14D586C}"/>
            </c:ext>
          </c:extLst>
        </c:ser>
        <c:ser>
          <c:idx val="4"/>
          <c:order val="4"/>
          <c:tx>
            <c:strRef>
              <c:f>'経済性比較、エネルギー、GHG'!$A$76</c:f>
              <c:strCache>
                <c:ptCount val="1"/>
                <c:pt idx="0">
                  <c:v>接続維持管理費</c:v>
                </c:pt>
              </c:strCache>
            </c:strRef>
          </c:tx>
          <c:spPr>
            <a:solidFill>
              <a:schemeClr val="accent5"/>
            </a:solidFill>
            <a:ln>
              <a:noFill/>
            </a:ln>
            <a:effectLst/>
          </c:spPr>
          <c:invertIfNegative val="0"/>
          <c:cat>
            <c:numRef>
              <c:f>'経済性比較、エネルギー、GHG'!$E$62:$AC$62</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'経済性比較、エネルギー、GHG'!$E$76:$AC$76</c:f>
              <c:numCache>
                <c:formatCode>General</c:formatCode>
                <c:ptCount val="25"/>
                <c:pt idx="5" formatCode="0.0">
                  <c:v>2.5</c:v>
                </c:pt>
                <c:pt idx="6" formatCode="0.0">
                  <c:v>2.5</c:v>
                </c:pt>
                <c:pt idx="7" formatCode="0.0">
                  <c:v>2.5</c:v>
                </c:pt>
                <c:pt idx="8" formatCode="0.0">
                  <c:v>2.5</c:v>
                </c:pt>
                <c:pt idx="9" formatCode="0.0">
                  <c:v>2.5</c:v>
                </c:pt>
                <c:pt idx="10" formatCode="0.0">
                  <c:v>2.5</c:v>
                </c:pt>
                <c:pt idx="11" formatCode="0.0">
                  <c:v>2.5</c:v>
                </c:pt>
                <c:pt idx="12" formatCode="0.0">
                  <c:v>2.5</c:v>
                </c:pt>
                <c:pt idx="13" formatCode="0.0">
                  <c:v>2.5</c:v>
                </c:pt>
                <c:pt idx="14" formatCode="0.0">
                  <c:v>2.5</c:v>
                </c:pt>
                <c:pt idx="15" formatCode="0.0">
                  <c:v>2.5</c:v>
                </c:pt>
                <c:pt idx="16" formatCode="0.0">
                  <c:v>2.5</c:v>
                </c:pt>
                <c:pt idx="17" formatCode="0.0">
                  <c:v>2.5</c:v>
                </c:pt>
                <c:pt idx="18" formatCode="0.0">
                  <c:v>2.5</c:v>
                </c:pt>
                <c:pt idx="19" formatCode="0.0">
                  <c:v>2.5</c:v>
                </c:pt>
                <c:pt idx="20" formatCode="0.0">
                  <c:v>2.5</c:v>
                </c:pt>
                <c:pt idx="21" formatCode="0.0">
                  <c:v>2.5</c:v>
                </c:pt>
                <c:pt idx="22" formatCode="0.0">
                  <c:v>2.5</c:v>
                </c:pt>
                <c:pt idx="23" formatCode="0.0">
                  <c:v>2.5</c:v>
                </c:pt>
                <c:pt idx="24" formatCode="0.0">
                  <c:v>2.5</c:v>
                </c:pt>
              </c:numCache>
            </c:numRef>
          </c:val>
          <c:extLst>
            <c:ext xmlns:c16="http://schemas.microsoft.com/office/drawing/2014/chart" uri="{C3380CC4-5D6E-409C-BE32-E72D297353CC}">
              <c16:uniqueId val="{00000004-44E6-44F2-B2EC-6DA5E14D586C}"/>
            </c:ext>
          </c:extLst>
        </c:ser>
        <c:dLbls>
          <c:showLegendKey val="0"/>
          <c:showVal val="0"/>
          <c:showCatName val="0"/>
          <c:showSerName val="0"/>
          <c:showPercent val="0"/>
          <c:showBubbleSize val="0"/>
        </c:dLbls>
        <c:gapWidth val="150"/>
        <c:overlap val="100"/>
        <c:axId val="260874464"/>
        <c:axId val="260874856"/>
      </c:barChart>
      <c:lineChart>
        <c:grouping val="standard"/>
        <c:varyColors val="0"/>
        <c:ser>
          <c:idx val="6"/>
          <c:order val="5"/>
          <c:tx>
            <c:strRef>
              <c:f>'経済性比較、エネルギー、GHG'!$A$78</c:f>
              <c:strCache>
                <c:ptCount val="1"/>
                <c:pt idx="0">
                  <c:v>累計事業費</c:v>
                </c:pt>
              </c:strCache>
            </c:strRef>
          </c:tx>
          <c:spPr>
            <a:ln w="28575" cap="rnd">
              <a:solidFill>
                <a:schemeClr val="accent1">
                  <a:lumMod val="60000"/>
                </a:schemeClr>
              </a:solidFill>
              <a:round/>
            </a:ln>
            <a:effectLst/>
          </c:spPr>
          <c:marker>
            <c:symbol val="none"/>
          </c:marker>
          <c:cat>
            <c:numRef>
              <c:f>'経済性比較、エネルギー、GHG'!$E$62:$AC$62</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'経済性比較、エネルギー、GHG'!$E$78:$AC$78</c:f>
              <c:numCache>
                <c:formatCode>#,##0_);[Red]\(#,##0\)</c:formatCode>
                <c:ptCount val="25"/>
                <c:pt idx="0">
                  <c:v>174.12324999999998</c:v>
                </c:pt>
                <c:pt idx="1">
                  <c:v>348.23500228856415</c:v>
                </c:pt>
                <c:pt idx="2">
                  <c:v>522.33293024635941</c:v>
                </c:pt>
                <c:pt idx="3">
                  <c:v>696.41467979917536</c:v>
                </c:pt>
                <c:pt idx="4">
                  <c:v>1277.4778068251981</c:v>
                </c:pt>
                <c:pt idx="5">
                  <c:v>1392.1007338715451</c:v>
                </c:pt>
                <c:pt idx="6">
                  <c:v>1506.7059990392199</c:v>
                </c:pt>
                <c:pt idx="7">
                  <c:v>1621.2916986373343</c:v>
                </c:pt>
                <c:pt idx="8">
                  <c:v>1735.8558872034735</c:v>
                </c:pt>
                <c:pt idx="9">
                  <c:v>1850.3965725000767</c:v>
                </c:pt>
                <c:pt idx="10">
                  <c:v>3274.2020237256629</c:v>
                </c:pt>
                <c:pt idx="11">
                  <c:v>3354.9759817256627</c:v>
                </c:pt>
                <c:pt idx="12">
                  <c:v>3435.7290994192495</c:v>
                </c:pt>
                <c:pt idx="13">
                  <c:v>3516.4598128770772</c:v>
                </c:pt>
                <c:pt idx="14">
                  <c:v>3597.1665033204154</c:v>
                </c:pt>
                <c:pt idx="15">
                  <c:v>3677.847491402686</c:v>
                </c:pt>
                <c:pt idx="16">
                  <c:v>3758.5010309052445</c:v>
                </c:pt>
                <c:pt idx="17">
                  <c:v>3839.1253017572299</c:v>
                </c:pt>
                <c:pt idx="18">
                  <c:v>3919.7184022733031</c:v>
                </c:pt>
                <c:pt idx="19">
                  <c:v>4000.2783404835563</c:v>
                </c:pt>
                <c:pt idx="20">
                  <c:v>4080.803024405925</c:v>
                </c:pt>
                <c:pt idx="21">
                  <c:v>4161.2902510818421</c:v>
                </c:pt>
                <c:pt idx="22">
                  <c:v>4241.737694159172</c:v>
                </c:pt>
                <c:pt idx="23">
                  <c:v>4322.1428897605138</c:v>
                </c:pt>
                <c:pt idx="24">
                  <c:v>4402.5032203171731</c:v>
                </c:pt>
              </c:numCache>
            </c:numRef>
          </c:val>
          <c:smooth val="0"/>
          <c:extLst>
            <c:ext xmlns:c16="http://schemas.microsoft.com/office/drawing/2014/chart" uri="{C3380CC4-5D6E-409C-BE32-E72D297353CC}">
              <c16:uniqueId val="{00000005-44E6-44F2-B2EC-6DA5E14D586C}"/>
            </c:ext>
          </c:extLst>
        </c:ser>
        <c:dLbls>
          <c:showLegendKey val="0"/>
          <c:showVal val="0"/>
          <c:showCatName val="0"/>
          <c:showSerName val="0"/>
          <c:showPercent val="0"/>
          <c:showBubbleSize val="0"/>
        </c:dLbls>
        <c:marker val="1"/>
        <c:smooth val="0"/>
        <c:axId val="260875248"/>
        <c:axId val="260875640"/>
      </c:lineChart>
      <c:catAx>
        <c:axId val="260874464"/>
        <c:scaling>
          <c:orientation val="minMax"/>
        </c:scaling>
        <c:delete val="0"/>
        <c:axPos val="b"/>
        <c:numFmt formatCode="#,##0_);[Red]\(#,##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60874856"/>
        <c:crosses val="autoZero"/>
        <c:auto val="1"/>
        <c:lblAlgn val="ctr"/>
        <c:lblOffset val="100"/>
        <c:noMultiLvlLbl val="0"/>
      </c:catAx>
      <c:valAx>
        <c:axId val="260874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事業費</a:t>
                </a:r>
              </a:p>
            </c:rich>
          </c:tx>
          <c:layout/>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60874464"/>
        <c:crosses val="autoZero"/>
        <c:crossBetween val="between"/>
      </c:valAx>
      <c:catAx>
        <c:axId val="260875248"/>
        <c:scaling>
          <c:orientation val="minMax"/>
        </c:scaling>
        <c:delete val="1"/>
        <c:axPos val="b"/>
        <c:numFmt formatCode="#,##0_);[Red]\(#,##0\)" sourceLinked="1"/>
        <c:majorTickMark val="out"/>
        <c:minorTickMark val="none"/>
        <c:tickLblPos val="nextTo"/>
        <c:crossAx val="260875640"/>
        <c:crosses val="autoZero"/>
        <c:auto val="1"/>
        <c:lblAlgn val="ctr"/>
        <c:lblOffset val="100"/>
        <c:noMultiLvlLbl val="0"/>
      </c:catAx>
      <c:valAx>
        <c:axId val="260875640"/>
        <c:scaling>
          <c:orientation val="minMax"/>
        </c:scaling>
        <c:delete val="0"/>
        <c:axPos val="r"/>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累計事業費</a:t>
                </a:r>
              </a:p>
            </c:rich>
          </c:tx>
          <c:layout/>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60875248"/>
        <c:crosses val="max"/>
        <c:crossBetween val="between"/>
      </c:valAx>
      <c:spPr>
        <a:noFill/>
        <a:ln>
          <a:noFill/>
        </a:ln>
        <a:effectLst/>
      </c:spPr>
    </c:plotArea>
    <c:legend>
      <c:legendPos val="b"/>
      <c:layout>
        <c:manualLayout>
          <c:xMode val="edge"/>
          <c:yMode val="edge"/>
          <c:x val="9.0765533070026105E-2"/>
          <c:y val="0.11516039661709"/>
          <c:w val="0.71481942363739603"/>
          <c:h val="6.7867749186305198E-2"/>
        </c:manualLayout>
      </c:layout>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ja-JP"/>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r>
              <a:rPr lang="ja-JP" altLang="en-US"/>
              <a:t>「既存施設の能力活用」事業費の推移</a:t>
            </a:r>
          </a:p>
        </c:rich>
      </c:tx>
      <c:layout>
        <c:manualLayout>
          <c:xMode val="edge"/>
          <c:yMode val="edge"/>
          <c:x val="0.37430112663845599"/>
          <c:y val="2.87023626338502E-2"/>
        </c:manualLayout>
      </c:layout>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4788134123420602E-2"/>
          <c:y val="0.17685185185185201"/>
          <c:w val="0.89825210143809697"/>
          <c:h val="0.73484543598716801"/>
        </c:manualLayout>
      </c:layout>
      <c:barChart>
        <c:barDir val="col"/>
        <c:grouping val="stacked"/>
        <c:varyColors val="0"/>
        <c:ser>
          <c:idx val="0"/>
          <c:order val="0"/>
          <c:tx>
            <c:strRef>
              <c:f>'経済性比較、エネルギー、GHG'!$A$131</c:f>
              <c:strCache>
                <c:ptCount val="1"/>
                <c:pt idx="0">
                  <c:v>A下水処理場維持管理費</c:v>
                </c:pt>
              </c:strCache>
            </c:strRef>
          </c:tx>
          <c:spPr>
            <a:solidFill>
              <a:schemeClr val="accent1"/>
            </a:solidFill>
            <a:ln>
              <a:noFill/>
            </a:ln>
            <a:effectLst/>
          </c:spPr>
          <c:invertIfNegative val="0"/>
          <c:cat>
            <c:numRef>
              <c:f>'経済性比較、エネルギー、GHG'!$E$62:$AC$62</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'経済性比較、エネルギー、GHG'!$E$131:$AC$131</c:f>
              <c:numCache>
                <c:formatCode>#,##0_);[Red]\(#,##0\)</c:formatCode>
                <c:ptCount val="25"/>
                <c:pt idx="0">
                  <c:v>111.1425</c:v>
                </c:pt>
                <c:pt idx="1">
                  <c:v>111.13390410620862</c:v>
                </c:pt>
                <c:pt idx="2">
                  <c:v>111.12362518041571</c:v>
                </c:pt>
                <c:pt idx="3">
                  <c:v>111.11164341638622</c:v>
                </c:pt>
                <c:pt idx="4">
                  <c:v>111.09774975779159</c:v>
                </c:pt>
                <c:pt idx="5">
                  <c:v>135.08210073073104</c:v>
                </c:pt>
                <c:pt idx="6">
                  <c:v>135.06466508050693</c:v>
                </c:pt>
                <c:pt idx="7">
                  <c:v>135.04521795579592</c:v>
                </c:pt>
                <c:pt idx="8">
                  <c:v>135.02390607957031</c:v>
                </c:pt>
                <c:pt idx="9">
                  <c:v>135.00068466227444</c:v>
                </c:pt>
                <c:pt idx="10">
                  <c:v>134.97530927151917</c:v>
                </c:pt>
                <c:pt idx="11">
                  <c:v>84.913218400000005</c:v>
                </c:pt>
                <c:pt idx="12">
                  <c:v>84.895708061141789</c:v>
                </c:pt>
                <c:pt idx="13">
                  <c:v>84.876801932363819</c:v>
                </c:pt>
                <c:pt idx="14">
                  <c:v>84.856572009586984</c:v>
                </c:pt>
                <c:pt idx="15">
                  <c:v>84.834968860583999</c:v>
                </c:pt>
                <c:pt idx="16">
                  <c:v>84.811813262410837</c:v>
                </c:pt>
                <c:pt idx="17">
                  <c:v>83.78716592946661</c:v>
                </c:pt>
                <c:pt idx="18">
                  <c:v>83.760960136394516</c:v>
                </c:pt>
                <c:pt idx="19">
                  <c:v>83.732990928458889</c:v>
                </c:pt>
                <c:pt idx="20">
                  <c:v>83.703303004569065</c:v>
                </c:pt>
                <c:pt idx="21">
                  <c:v>83.671805456455431</c:v>
                </c:pt>
                <c:pt idx="22">
                  <c:v>83.638257798559522</c:v>
                </c:pt>
                <c:pt idx="23">
                  <c:v>83.602680785948422</c:v>
                </c:pt>
                <c:pt idx="24">
                  <c:v>82.564948249034657</c:v>
                </c:pt>
              </c:numCache>
            </c:numRef>
          </c:val>
          <c:extLst>
            <c:ext xmlns:c16="http://schemas.microsoft.com/office/drawing/2014/chart" uri="{C3380CC4-5D6E-409C-BE32-E72D297353CC}">
              <c16:uniqueId val="{00000000-FE98-495C-97DF-2C4649C980B5}"/>
            </c:ext>
          </c:extLst>
        </c:ser>
        <c:ser>
          <c:idx val="1"/>
          <c:order val="1"/>
          <c:tx>
            <c:strRef>
              <c:f>'経済性比較、エネルギー、GHG'!$A$132</c:f>
              <c:strCache>
                <c:ptCount val="1"/>
                <c:pt idx="0">
                  <c:v>B下水処理場維持管理費</c:v>
                </c:pt>
              </c:strCache>
            </c:strRef>
          </c:tx>
          <c:spPr>
            <a:solidFill>
              <a:schemeClr val="accent2"/>
            </a:solidFill>
            <a:ln>
              <a:noFill/>
            </a:ln>
            <a:effectLst/>
          </c:spPr>
          <c:invertIfNegative val="0"/>
          <c:cat>
            <c:numRef>
              <c:f>'経済性比較、エネルギー、GHG'!$E$62:$AC$62</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'経済性比較、エネルギー、GHG'!$E$132:$AC$132</c:f>
              <c:numCache>
                <c:formatCode>#,##0_);[Red]\(#,##0\)</c:formatCode>
                <c:ptCount val="25"/>
                <c:pt idx="0">
                  <c:v>62.98075</c:v>
                </c:pt>
                <c:pt idx="1">
                  <c:v>62.977848182355523</c:v>
                </c:pt>
                <c:pt idx="2">
                  <c:v>62.974302777379549</c:v>
                </c:pt>
                <c:pt idx="3">
                  <c:v>62.970106136429749</c:v>
                </c:pt>
                <c:pt idx="4">
                  <c:v>62.965377268230924</c:v>
                </c:pt>
                <c:pt idx="5">
                  <c:v>26.950455798000004</c:v>
                </c:pt>
                <c:pt idx="6">
                  <c:v>26.947853227519239</c:v>
                </c:pt>
                <c:pt idx="7">
                  <c:v>26.945008990261471</c:v>
                </c:pt>
                <c:pt idx="8">
                  <c:v>26.941861355672852</c:v>
                </c:pt>
                <c:pt idx="9">
                  <c:v>26.938402951459391</c:v>
                </c:pt>
                <c:pt idx="10">
                  <c:v>26.934683025388967</c:v>
                </c:pt>
                <c:pt idx="11">
                  <c:v>26.930636067449349</c:v>
                </c:pt>
                <c:pt idx="12">
                  <c:v>26.92625197801603</c:v>
                </c:pt>
                <c:pt idx="13">
                  <c:v>26.921579050301204</c:v>
                </c:pt>
                <c:pt idx="14">
                  <c:v>26.916546895109811</c:v>
                </c:pt>
                <c:pt idx="15">
                  <c:v>26.911141910816813</c:v>
                </c:pt>
                <c:pt idx="16">
                  <c:v>26.905411109880166</c:v>
                </c:pt>
                <c:pt idx="17">
                  <c:v>26.899277704751814</c:v>
                </c:pt>
                <c:pt idx="18">
                  <c:v>26.892723414619887</c:v>
                </c:pt>
                <c:pt idx="19">
                  <c:v>26.885793307719453</c:v>
                </c:pt>
                <c:pt idx="20">
                  <c:v>26.8784020252895</c:v>
                </c:pt>
                <c:pt idx="21">
                  <c:v>26.870524781176563</c:v>
                </c:pt>
                <c:pt idx="22">
                  <c:v>26.862203458065519</c:v>
                </c:pt>
                <c:pt idx="23">
                  <c:v>26.853340887353486</c:v>
                </c:pt>
                <c:pt idx="24">
                  <c:v>26.843902850168156</c:v>
                </c:pt>
              </c:numCache>
            </c:numRef>
          </c:val>
          <c:extLst>
            <c:ext xmlns:c16="http://schemas.microsoft.com/office/drawing/2014/chart" uri="{C3380CC4-5D6E-409C-BE32-E72D297353CC}">
              <c16:uniqueId val="{00000001-FE98-495C-97DF-2C4649C980B5}"/>
            </c:ext>
          </c:extLst>
        </c:ser>
        <c:ser>
          <c:idx val="2"/>
          <c:order val="2"/>
          <c:tx>
            <c:strRef>
              <c:f>'経済性比較、エネルギー、GHG'!$A$133</c:f>
              <c:strCache>
                <c:ptCount val="1"/>
                <c:pt idx="0">
                  <c:v>A下水処理場更新費</c:v>
                </c:pt>
              </c:strCache>
            </c:strRef>
          </c:tx>
          <c:spPr>
            <a:solidFill>
              <a:schemeClr val="accent3"/>
            </a:solidFill>
            <a:ln>
              <a:noFill/>
            </a:ln>
            <a:effectLst/>
          </c:spPr>
          <c:invertIfNegative val="0"/>
          <c:cat>
            <c:numRef>
              <c:f>'経済性比較、エネルギー、GHG'!$E$62:$AC$62</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'経済性比較、エネルギー、GHG'!$E$133:$AC$133</c:f>
              <c:numCache>
                <c:formatCode>General</c:formatCode>
                <c:ptCount val="25"/>
                <c:pt idx="10" formatCode="#,##0_);[Red]\(#,##0\)">
                  <c:v>1278.4462777268004</c:v>
                </c:pt>
              </c:numCache>
            </c:numRef>
          </c:val>
          <c:extLst>
            <c:ext xmlns:c16="http://schemas.microsoft.com/office/drawing/2014/chart" uri="{C3380CC4-5D6E-409C-BE32-E72D297353CC}">
              <c16:uniqueId val="{00000002-FE98-495C-97DF-2C4649C980B5}"/>
            </c:ext>
          </c:extLst>
        </c:ser>
        <c:ser>
          <c:idx val="3"/>
          <c:order val="3"/>
          <c:tx>
            <c:strRef>
              <c:f>'経済性比較、エネルギー、GHG'!$A$134</c:f>
              <c:strCache>
                <c:ptCount val="1"/>
                <c:pt idx="0">
                  <c:v>B下水処理場更新費</c:v>
                </c:pt>
              </c:strCache>
            </c:strRef>
          </c:tx>
          <c:spPr>
            <a:solidFill>
              <a:schemeClr val="accent4"/>
            </a:solidFill>
            <a:ln>
              <a:noFill/>
            </a:ln>
            <a:effectLst/>
          </c:spPr>
          <c:invertIfNegative val="0"/>
          <c:cat>
            <c:numRef>
              <c:f>'経済性比較、エネルギー、GHG'!$E$62:$AC$62</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'経済性比較、エネルギー、GHG'!$E$134:$AC$134</c:f>
              <c:numCache>
                <c:formatCode>General</c:formatCode>
                <c:ptCount val="25"/>
                <c:pt idx="4" formatCode="0">
                  <c:v>800.65930155853425</c:v>
                </c:pt>
              </c:numCache>
            </c:numRef>
          </c:val>
          <c:extLst>
            <c:ext xmlns:c16="http://schemas.microsoft.com/office/drawing/2014/chart" uri="{C3380CC4-5D6E-409C-BE32-E72D297353CC}">
              <c16:uniqueId val="{00000003-FE98-495C-97DF-2C4649C980B5}"/>
            </c:ext>
          </c:extLst>
        </c:ser>
        <c:dLbls>
          <c:showLegendKey val="0"/>
          <c:showVal val="0"/>
          <c:showCatName val="0"/>
          <c:showSerName val="0"/>
          <c:showPercent val="0"/>
          <c:showBubbleSize val="0"/>
        </c:dLbls>
        <c:gapWidth val="150"/>
        <c:overlap val="100"/>
        <c:axId val="260877208"/>
        <c:axId val="260877600"/>
      </c:barChart>
      <c:lineChart>
        <c:grouping val="standard"/>
        <c:varyColors val="0"/>
        <c:ser>
          <c:idx val="6"/>
          <c:order val="4"/>
          <c:tx>
            <c:strRef>
              <c:f>'経済性比較、エネルギー、GHG'!$A$136</c:f>
              <c:strCache>
                <c:ptCount val="1"/>
                <c:pt idx="0">
                  <c:v>累計事業費</c:v>
                </c:pt>
              </c:strCache>
            </c:strRef>
          </c:tx>
          <c:spPr>
            <a:ln w="28575" cap="rnd">
              <a:solidFill>
                <a:schemeClr val="accent1">
                  <a:lumMod val="60000"/>
                </a:schemeClr>
              </a:solidFill>
              <a:round/>
            </a:ln>
            <a:effectLst/>
          </c:spPr>
          <c:marker>
            <c:symbol val="none"/>
          </c:marker>
          <c:cat>
            <c:numRef>
              <c:f>'経済性比較、エネルギー、GHG'!$E$62:$AC$62</c:f>
              <c:numCache>
                <c:formatCode>#,##0_);[Red]\(#,##0\)</c:formatCode>
                <c:ptCount val="2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numCache>
            </c:numRef>
          </c:cat>
          <c:val>
            <c:numRef>
              <c:f>'経済性比較、エネルギー、GHG'!$E$136:$AC$136</c:f>
              <c:numCache>
                <c:formatCode>#,##0_);[Red]\(#,##0\)</c:formatCode>
                <c:ptCount val="25"/>
                <c:pt idx="0">
                  <c:v>174.12324999999998</c:v>
                </c:pt>
                <c:pt idx="1">
                  <c:v>348.23500228856415</c:v>
                </c:pt>
                <c:pt idx="2">
                  <c:v>522.33293024635941</c:v>
                </c:pt>
                <c:pt idx="3">
                  <c:v>696.41467979917536</c:v>
                </c:pt>
                <c:pt idx="4">
                  <c:v>1671.1371083837321</c:v>
                </c:pt>
                <c:pt idx="5">
                  <c:v>1833.1696649124631</c:v>
                </c:pt>
                <c:pt idx="6">
                  <c:v>1995.1821832204892</c:v>
                </c:pt>
                <c:pt idx="7">
                  <c:v>2157.1724101665463</c:v>
                </c:pt>
                <c:pt idx="8">
                  <c:v>2319.1381776017897</c:v>
                </c:pt>
                <c:pt idx="9">
                  <c:v>2481.0772652155238</c:v>
                </c:pt>
                <c:pt idx="10">
                  <c:v>3921.4335352392322</c:v>
                </c:pt>
                <c:pt idx="11">
                  <c:v>4033.2773897066818</c:v>
                </c:pt>
                <c:pt idx="12">
                  <c:v>4145.0993497458394</c:v>
                </c:pt>
                <c:pt idx="13">
                  <c:v>4256.897730728504</c:v>
                </c:pt>
                <c:pt idx="14">
                  <c:v>4368.6708496332012</c:v>
                </c:pt>
                <c:pt idx="15">
                  <c:v>4480.4169604046019</c:v>
                </c:pt>
                <c:pt idx="16">
                  <c:v>4592.1341847768927</c:v>
                </c:pt>
                <c:pt idx="17">
                  <c:v>4702.8206284111111</c:v>
                </c:pt>
                <c:pt idx="18">
                  <c:v>4813.4743119621253</c:v>
                </c:pt>
                <c:pt idx="19">
                  <c:v>4924.093096198304</c:v>
                </c:pt>
                <c:pt idx="20">
                  <c:v>5034.6748012281623</c:v>
                </c:pt>
                <c:pt idx="21">
                  <c:v>5145.2171314657944</c:v>
                </c:pt>
                <c:pt idx="22">
                  <c:v>5255.7175927224198</c:v>
                </c:pt>
                <c:pt idx="23">
                  <c:v>5366.1736143957214</c:v>
                </c:pt>
                <c:pt idx="24">
                  <c:v>5475.5824654949247</c:v>
                </c:pt>
              </c:numCache>
            </c:numRef>
          </c:val>
          <c:smooth val="0"/>
          <c:extLst>
            <c:ext xmlns:c16="http://schemas.microsoft.com/office/drawing/2014/chart" uri="{C3380CC4-5D6E-409C-BE32-E72D297353CC}">
              <c16:uniqueId val="{00000004-FE98-495C-97DF-2C4649C980B5}"/>
            </c:ext>
          </c:extLst>
        </c:ser>
        <c:dLbls>
          <c:showLegendKey val="0"/>
          <c:showVal val="0"/>
          <c:showCatName val="0"/>
          <c:showSerName val="0"/>
          <c:showPercent val="0"/>
          <c:showBubbleSize val="0"/>
        </c:dLbls>
        <c:marker val="1"/>
        <c:smooth val="0"/>
        <c:axId val="260877992"/>
        <c:axId val="260878384"/>
      </c:lineChart>
      <c:catAx>
        <c:axId val="260877208"/>
        <c:scaling>
          <c:orientation val="minMax"/>
        </c:scaling>
        <c:delete val="0"/>
        <c:axPos val="b"/>
        <c:numFmt formatCode="#,##0_);[Red]\(#,##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60877600"/>
        <c:crosses val="autoZero"/>
        <c:auto val="1"/>
        <c:lblAlgn val="ctr"/>
        <c:lblOffset val="100"/>
        <c:noMultiLvlLbl val="0"/>
      </c:catAx>
      <c:valAx>
        <c:axId val="2608776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事業費</a:t>
                </a:r>
              </a:p>
            </c:rich>
          </c:tx>
          <c:layout/>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60877208"/>
        <c:crosses val="autoZero"/>
        <c:crossBetween val="between"/>
      </c:valAx>
      <c:catAx>
        <c:axId val="260877992"/>
        <c:scaling>
          <c:orientation val="minMax"/>
        </c:scaling>
        <c:delete val="1"/>
        <c:axPos val="b"/>
        <c:numFmt formatCode="#,##0_);[Red]\(#,##0\)" sourceLinked="1"/>
        <c:majorTickMark val="out"/>
        <c:minorTickMark val="none"/>
        <c:tickLblPos val="nextTo"/>
        <c:crossAx val="260878384"/>
        <c:crosses val="autoZero"/>
        <c:auto val="1"/>
        <c:lblAlgn val="ctr"/>
        <c:lblOffset val="100"/>
        <c:noMultiLvlLbl val="0"/>
      </c:catAx>
      <c:valAx>
        <c:axId val="260878384"/>
        <c:scaling>
          <c:orientation val="minMax"/>
        </c:scaling>
        <c:delete val="0"/>
        <c:axPos val="r"/>
        <c:title>
          <c:tx>
            <c:rich>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r>
                  <a:rPr lang="ja-JP" altLang="en-US"/>
                  <a:t>累計事業費</a:t>
                </a:r>
              </a:p>
            </c:rich>
          </c:tx>
          <c:layout/>
          <c:overlay val="0"/>
          <c:spPr>
            <a:noFill/>
            <a:ln>
              <a:noFill/>
            </a:ln>
            <a:effectLst/>
          </c:spPr>
          <c:txPr>
            <a:bodyPr rot="-5400000" spcFirstLastPara="1" vertOverflow="ellipsis" vert="horz" wrap="square" anchor="ctr" anchorCtr="1"/>
            <a:lstStyle/>
            <a:p>
              <a:pPr>
                <a:defRPr lang="ja-JP"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out"/>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crossAx val="260877992"/>
        <c:crosses val="max"/>
        <c:crossBetween val="between"/>
      </c:valAx>
      <c:spPr>
        <a:noFill/>
        <a:ln>
          <a:noFill/>
        </a:ln>
        <a:effectLst/>
      </c:spPr>
    </c:plotArea>
    <c:legend>
      <c:legendPos val="b"/>
      <c:layout>
        <c:manualLayout>
          <c:xMode val="edge"/>
          <c:yMode val="edge"/>
          <c:x val="9.0765533070026105E-2"/>
          <c:y val="0.11516039661709"/>
          <c:w val="0.71481942363739603"/>
          <c:h val="6.7867749186305198E-2"/>
        </c:manualLayout>
      </c:layout>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ja-JP"/>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0" i="0" u="none" strike="noStrike" kern="1200" baseline="0">
                <a:solidFill>
                  <a:schemeClr val="dk1">
                    <a:lumMod val="65000"/>
                    <a:lumOff val="35000"/>
                  </a:schemeClr>
                </a:solidFill>
                <a:effectLst/>
                <a:latin typeface="+mn-lt"/>
                <a:ea typeface="+mn-ea"/>
                <a:cs typeface="+mn-cs"/>
              </a:defRPr>
            </a:pPr>
            <a:r>
              <a:rPr lang="ja-JP"/>
              <a:t>温室効果ガスの排出量</a:t>
            </a:r>
            <a:r>
              <a:rPr lang="ja-JP" altLang="en-US"/>
              <a:t>［</a:t>
            </a:r>
            <a:r>
              <a:rPr lang="ja-JP"/>
              <a:t>ｔ</a:t>
            </a:r>
            <a:r>
              <a:rPr lang="en-US"/>
              <a:t>-CO2</a:t>
            </a:r>
            <a:r>
              <a:rPr lang="ja-JP" altLang="en-US"/>
              <a:t>］</a:t>
            </a:r>
            <a:endParaRPr lang="ja-JP"/>
          </a:p>
        </c:rich>
      </c:tx>
      <c:layout/>
      <c:overlay val="0"/>
      <c:spPr>
        <a:noFill/>
        <a:ln>
          <a:noFill/>
        </a:ln>
        <a:effectLst/>
      </c:spPr>
      <c:txPr>
        <a:bodyPr rot="0" spcFirstLastPara="1" vertOverflow="ellipsis" vert="horz" wrap="square" anchor="ctr" anchorCtr="1"/>
        <a:lstStyle/>
        <a:p>
          <a:pPr>
            <a:defRPr lang="ja-JP" sz="1800" b="0" i="0" u="none" strike="noStrike" kern="1200" baseline="0">
              <a:solidFill>
                <a:schemeClr val="dk1">
                  <a:lumMod val="65000"/>
                  <a:lumOff val="35000"/>
                </a:schemeClr>
              </a:solidFill>
              <a:effectLst/>
              <a:latin typeface="+mn-lt"/>
              <a:ea typeface="+mn-ea"/>
              <a:cs typeface="+mn-cs"/>
            </a:defRPr>
          </a:pPr>
          <a:endParaRPr lang="ja-JP"/>
        </a:p>
      </c:txPr>
    </c:title>
    <c:autoTitleDeleted val="0"/>
    <c:plotArea>
      <c:layout/>
      <c:barChart>
        <c:barDir val="col"/>
        <c:grouping val="clustered"/>
        <c:varyColors val="0"/>
        <c:ser>
          <c:idx val="1"/>
          <c:order val="0"/>
          <c:spPr>
            <a:gradFill>
              <a:gsLst>
                <a:gs pos="0">
                  <a:schemeClr val="accent2"/>
                </a:gs>
                <a:gs pos="100000">
                  <a:schemeClr val="accent2">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ja-JP" sz="1600" b="1" i="0" u="none" strike="noStrike" kern="1200" baseline="0">
                    <a:solidFill>
                      <a:schemeClr val="lt1"/>
                    </a:solidFill>
                    <a:latin typeface="+mn-lt"/>
                    <a:ea typeface="+mn-ea"/>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'経済性比較、エネルギー、GHG'!$C$217:$C$219</c:f>
              <c:strCache>
                <c:ptCount val="3"/>
                <c:pt idx="0">
                  <c:v>既存施設の更新</c:v>
                </c:pt>
                <c:pt idx="1">
                  <c:v>処理施設の再編成</c:v>
                </c:pt>
                <c:pt idx="2">
                  <c:v>既存施設の能力活用</c:v>
                </c:pt>
              </c:strCache>
            </c:strRef>
          </c:cat>
          <c:val>
            <c:numRef>
              <c:f>'経済性比較、エネルギー、GHG'!$AD$217:$AD$219</c:f>
              <c:numCache>
                <c:formatCode>#,##0_);[Red]\(#,##0\)</c:formatCode>
                <c:ptCount val="3"/>
                <c:pt idx="0">
                  <c:v>19342.157346708773</c:v>
                </c:pt>
                <c:pt idx="1">
                  <c:v>17996.5681233252</c:v>
                </c:pt>
                <c:pt idx="2">
                  <c:v>19342.157346708773</c:v>
                </c:pt>
              </c:numCache>
            </c:numRef>
          </c:val>
          <c:extLst>
            <c:ext xmlns:c16="http://schemas.microsoft.com/office/drawing/2014/chart" uri="{C3380CC4-5D6E-409C-BE32-E72D297353CC}">
              <c16:uniqueId val="{00000000-D804-4ABB-B64C-8CAB7F4CC105}"/>
            </c:ext>
          </c:extLst>
        </c:ser>
        <c:dLbls>
          <c:showLegendKey val="0"/>
          <c:showVal val="1"/>
          <c:showCatName val="0"/>
          <c:showSerName val="0"/>
          <c:showPercent val="0"/>
          <c:showBubbleSize val="0"/>
        </c:dLbls>
        <c:gapWidth val="41"/>
        <c:axId val="260879168"/>
        <c:axId val="260879560"/>
      </c:barChart>
      <c:catAx>
        <c:axId val="2608791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dk1">
                    <a:lumMod val="65000"/>
                    <a:lumOff val="35000"/>
                  </a:schemeClr>
                </a:solidFill>
                <a:effectLst/>
                <a:latin typeface="+mn-lt"/>
                <a:ea typeface="+mn-ea"/>
                <a:cs typeface="+mn-cs"/>
              </a:defRPr>
            </a:pPr>
            <a:endParaRPr lang="ja-JP"/>
          </a:p>
        </c:txPr>
        <c:crossAx val="260879560"/>
        <c:crosses val="autoZero"/>
        <c:auto val="1"/>
        <c:lblAlgn val="ctr"/>
        <c:lblOffset val="100"/>
        <c:noMultiLvlLbl val="0"/>
      </c:catAx>
      <c:valAx>
        <c:axId val="260879560"/>
        <c:scaling>
          <c:orientation val="minMax"/>
          <c:min val="0"/>
        </c:scaling>
        <c:delete val="1"/>
        <c:axPos val="l"/>
        <c:numFmt formatCode="#,##0_);[Red]\(#,##0\)" sourceLinked="0"/>
        <c:majorTickMark val="none"/>
        <c:minorTickMark val="none"/>
        <c:tickLblPos val="nextTo"/>
        <c:crossAx val="260879168"/>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lang="ja-JP"/>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0" i="0" u="none" strike="noStrike" kern="1200" baseline="0">
                <a:solidFill>
                  <a:schemeClr val="dk1">
                    <a:lumMod val="65000"/>
                    <a:lumOff val="35000"/>
                  </a:schemeClr>
                </a:solidFill>
                <a:effectLst/>
                <a:latin typeface="+mn-lt"/>
                <a:ea typeface="+mn-ea"/>
                <a:cs typeface="+mn-cs"/>
              </a:defRPr>
            </a:pPr>
            <a:r>
              <a:rPr lang="ja-JP" altLang="en-US"/>
              <a:t>消費電力量［千</a:t>
            </a:r>
            <a:r>
              <a:rPr lang="en-US" altLang="ja-JP"/>
              <a:t>kWh</a:t>
            </a:r>
            <a:r>
              <a:rPr lang="ja-JP" altLang="en-US"/>
              <a:t>］</a:t>
            </a:r>
            <a:endParaRPr lang="ja-JP"/>
          </a:p>
        </c:rich>
      </c:tx>
      <c:layout/>
      <c:overlay val="0"/>
      <c:spPr>
        <a:noFill/>
        <a:ln>
          <a:noFill/>
        </a:ln>
        <a:effectLst/>
      </c:spPr>
      <c:txPr>
        <a:bodyPr rot="0" spcFirstLastPara="1" vertOverflow="ellipsis" vert="horz" wrap="square" anchor="ctr" anchorCtr="1"/>
        <a:lstStyle/>
        <a:p>
          <a:pPr>
            <a:defRPr lang="ja-JP" sz="1800" b="0" i="0" u="none" strike="noStrike" kern="1200" baseline="0">
              <a:solidFill>
                <a:schemeClr val="dk1">
                  <a:lumMod val="65000"/>
                  <a:lumOff val="35000"/>
                </a:schemeClr>
              </a:solidFill>
              <a:effectLst/>
              <a:latin typeface="+mn-lt"/>
              <a:ea typeface="+mn-ea"/>
              <a:cs typeface="+mn-cs"/>
            </a:defRPr>
          </a:pPr>
          <a:endParaRPr lang="ja-JP"/>
        </a:p>
      </c:txPr>
    </c:title>
    <c:autoTitleDeleted val="0"/>
    <c:plotArea>
      <c:layout/>
      <c:barChart>
        <c:barDir val="col"/>
        <c:grouping val="clustered"/>
        <c:varyColors val="0"/>
        <c:ser>
          <c:idx val="1"/>
          <c:order val="0"/>
          <c:spPr>
            <a:gradFill>
              <a:gsLst>
                <a:gs pos="0">
                  <a:schemeClr val="accent2"/>
                </a:gs>
                <a:gs pos="100000">
                  <a:schemeClr val="accent2">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ja-JP" sz="1600" b="1" i="0" u="none" strike="noStrike" kern="1200" baseline="0">
                    <a:solidFill>
                      <a:schemeClr val="lt1"/>
                    </a:solidFill>
                    <a:latin typeface="+mn-lt"/>
                    <a:ea typeface="+mn-ea"/>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'経済性比較、エネルギー、GHG'!$C$202:$C$204</c:f>
              <c:strCache>
                <c:ptCount val="3"/>
                <c:pt idx="0">
                  <c:v>既存施設の更新</c:v>
                </c:pt>
                <c:pt idx="1">
                  <c:v>既存施設の更新再編成</c:v>
                </c:pt>
                <c:pt idx="2">
                  <c:v>既存施設の能力活用</c:v>
                </c:pt>
              </c:strCache>
            </c:strRef>
          </c:cat>
          <c:val>
            <c:numRef>
              <c:f>'経済性比較、エネルギー、GHG'!$AD$202:$AD$204</c:f>
              <c:numCache>
                <c:formatCode>#,##0_);[Red]\(#,##0\)</c:formatCode>
                <c:ptCount val="3"/>
                <c:pt idx="0">
                  <c:v>33464.844000651407</c:v>
                </c:pt>
                <c:pt idx="1">
                  <c:v>30626.048170728271</c:v>
                </c:pt>
                <c:pt idx="2">
                  <c:v>33464.844000651407</c:v>
                </c:pt>
              </c:numCache>
            </c:numRef>
          </c:val>
          <c:extLst>
            <c:ext xmlns:c16="http://schemas.microsoft.com/office/drawing/2014/chart" uri="{C3380CC4-5D6E-409C-BE32-E72D297353CC}">
              <c16:uniqueId val="{00000000-75E7-4041-8ACB-3E7CD5664873}"/>
            </c:ext>
          </c:extLst>
        </c:ser>
        <c:dLbls>
          <c:showLegendKey val="0"/>
          <c:showVal val="1"/>
          <c:showCatName val="0"/>
          <c:showSerName val="0"/>
          <c:showPercent val="0"/>
          <c:showBubbleSize val="0"/>
        </c:dLbls>
        <c:gapWidth val="41"/>
        <c:axId val="260874072"/>
        <c:axId val="260880344"/>
      </c:barChart>
      <c:catAx>
        <c:axId val="26087407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dk1">
                    <a:lumMod val="65000"/>
                    <a:lumOff val="35000"/>
                  </a:schemeClr>
                </a:solidFill>
                <a:effectLst/>
                <a:latin typeface="+mn-lt"/>
                <a:ea typeface="+mn-ea"/>
                <a:cs typeface="+mn-cs"/>
              </a:defRPr>
            </a:pPr>
            <a:endParaRPr lang="ja-JP"/>
          </a:p>
        </c:txPr>
        <c:crossAx val="260880344"/>
        <c:crosses val="autoZero"/>
        <c:auto val="1"/>
        <c:lblAlgn val="ctr"/>
        <c:lblOffset val="100"/>
        <c:noMultiLvlLbl val="0"/>
      </c:catAx>
      <c:valAx>
        <c:axId val="260880344"/>
        <c:scaling>
          <c:orientation val="minMax"/>
          <c:min val="0"/>
        </c:scaling>
        <c:delete val="1"/>
        <c:axPos val="l"/>
        <c:numFmt formatCode="#,##0_);[Red]\(#,##0\)" sourceLinked="0"/>
        <c:majorTickMark val="none"/>
        <c:minorTickMark val="none"/>
        <c:tickLblPos val="nextTo"/>
        <c:crossAx val="26087407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lang="ja-JP"/>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800" b="0" i="0" u="none" strike="noStrike" kern="1200" baseline="0">
                <a:solidFill>
                  <a:schemeClr val="dk1">
                    <a:lumMod val="65000"/>
                    <a:lumOff val="35000"/>
                  </a:schemeClr>
                </a:solidFill>
                <a:effectLst/>
                <a:latin typeface="+mn-lt"/>
                <a:ea typeface="+mn-ea"/>
                <a:cs typeface="+mn-cs"/>
              </a:defRPr>
            </a:pPr>
            <a:r>
              <a:rPr lang="ja-JP" altLang="en-US"/>
              <a:t>消費エネルギー量［千</a:t>
            </a:r>
            <a:r>
              <a:rPr lang="en-US" altLang="ja-JP"/>
              <a:t>MJ</a:t>
            </a:r>
            <a:r>
              <a:rPr lang="ja-JP" altLang="en-US"/>
              <a:t>］</a:t>
            </a:r>
            <a:endParaRPr lang="ja-JP"/>
          </a:p>
        </c:rich>
      </c:tx>
      <c:layout/>
      <c:overlay val="0"/>
      <c:spPr>
        <a:noFill/>
        <a:ln>
          <a:noFill/>
        </a:ln>
        <a:effectLst/>
      </c:spPr>
      <c:txPr>
        <a:bodyPr rot="0" spcFirstLastPara="1" vertOverflow="ellipsis" vert="horz" wrap="square" anchor="ctr" anchorCtr="1"/>
        <a:lstStyle/>
        <a:p>
          <a:pPr>
            <a:defRPr lang="ja-JP" sz="1800" b="0" i="0" u="none" strike="noStrike" kern="1200" baseline="0">
              <a:solidFill>
                <a:schemeClr val="dk1">
                  <a:lumMod val="65000"/>
                  <a:lumOff val="35000"/>
                </a:schemeClr>
              </a:solidFill>
              <a:effectLst/>
              <a:latin typeface="+mn-lt"/>
              <a:ea typeface="+mn-ea"/>
              <a:cs typeface="+mn-cs"/>
            </a:defRPr>
          </a:pPr>
          <a:endParaRPr lang="ja-JP"/>
        </a:p>
      </c:txPr>
    </c:title>
    <c:autoTitleDeleted val="0"/>
    <c:plotArea>
      <c:layout/>
      <c:barChart>
        <c:barDir val="col"/>
        <c:grouping val="clustered"/>
        <c:varyColors val="0"/>
        <c:ser>
          <c:idx val="1"/>
          <c:order val="0"/>
          <c:spPr>
            <a:gradFill>
              <a:gsLst>
                <a:gs pos="0">
                  <a:schemeClr val="accent2"/>
                </a:gs>
                <a:gs pos="100000">
                  <a:schemeClr val="accent2">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ja-JP" sz="1600" b="1" i="0" u="none" strike="noStrike" kern="1200" baseline="0">
                    <a:solidFill>
                      <a:schemeClr val="lt1"/>
                    </a:solidFill>
                    <a:latin typeface="+mn-lt"/>
                    <a:ea typeface="+mn-ea"/>
                    <a:cs typeface="+mn-cs"/>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'経済性比較、エネルギー、GHG'!$C$205:$C$207</c:f>
              <c:strCache>
                <c:ptCount val="3"/>
                <c:pt idx="0">
                  <c:v>既存施設の更新</c:v>
                </c:pt>
                <c:pt idx="1">
                  <c:v>既存施設の更新再編成</c:v>
                </c:pt>
                <c:pt idx="2">
                  <c:v>既存施設の能力活用</c:v>
                </c:pt>
              </c:strCache>
            </c:strRef>
          </c:cat>
          <c:val>
            <c:numRef>
              <c:f>'経済性比較、エネルギー、GHG'!$AD$205:$AD$207</c:f>
              <c:numCache>
                <c:formatCode>#,##0_);[Red]\(#,##0\)</c:formatCode>
                <c:ptCount val="3"/>
                <c:pt idx="0">
                  <c:v>120473.43840234511</c:v>
                </c:pt>
                <c:pt idx="1">
                  <c:v>110253.77341462178</c:v>
                </c:pt>
                <c:pt idx="2">
                  <c:v>120473.43840234511</c:v>
                </c:pt>
              </c:numCache>
            </c:numRef>
          </c:val>
          <c:extLst>
            <c:ext xmlns:c16="http://schemas.microsoft.com/office/drawing/2014/chart" uri="{C3380CC4-5D6E-409C-BE32-E72D297353CC}">
              <c16:uniqueId val="{00000000-C984-41AA-8396-954D2333F798}"/>
            </c:ext>
          </c:extLst>
        </c:ser>
        <c:dLbls>
          <c:showLegendKey val="0"/>
          <c:showVal val="1"/>
          <c:showCatName val="0"/>
          <c:showSerName val="0"/>
          <c:showPercent val="0"/>
          <c:showBubbleSize val="0"/>
        </c:dLbls>
        <c:gapWidth val="41"/>
        <c:axId val="260881128"/>
        <c:axId val="260881520"/>
      </c:barChart>
      <c:catAx>
        <c:axId val="26088112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dk1">
                    <a:lumMod val="65000"/>
                    <a:lumOff val="35000"/>
                  </a:schemeClr>
                </a:solidFill>
                <a:effectLst/>
                <a:latin typeface="+mn-lt"/>
                <a:ea typeface="+mn-ea"/>
                <a:cs typeface="+mn-cs"/>
              </a:defRPr>
            </a:pPr>
            <a:endParaRPr lang="ja-JP"/>
          </a:p>
        </c:txPr>
        <c:crossAx val="260881520"/>
        <c:crosses val="autoZero"/>
        <c:auto val="1"/>
        <c:lblAlgn val="ctr"/>
        <c:lblOffset val="100"/>
        <c:noMultiLvlLbl val="0"/>
      </c:catAx>
      <c:valAx>
        <c:axId val="260881520"/>
        <c:scaling>
          <c:orientation val="minMax"/>
          <c:min val="0"/>
        </c:scaling>
        <c:delete val="1"/>
        <c:axPos val="l"/>
        <c:numFmt formatCode="#,##0_);[Red]\(#,##0\)" sourceLinked="0"/>
        <c:majorTickMark val="none"/>
        <c:minorTickMark val="none"/>
        <c:tickLblPos val="nextTo"/>
        <c:crossAx val="260881128"/>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lang="ja-JP"/>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136071</xdr:colOff>
      <xdr:row>3</xdr:row>
      <xdr:rowOff>97970</xdr:rowOff>
    </xdr:from>
    <xdr:to>
      <xdr:col>10</xdr:col>
      <xdr:colOff>421821</xdr:colOff>
      <xdr:row>19</xdr:row>
      <xdr:rowOff>149678</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16</xdr:row>
      <xdr:rowOff>161925</xdr:rowOff>
    </xdr:from>
    <xdr:to>
      <xdr:col>8</xdr:col>
      <xdr:colOff>81644</xdr:colOff>
      <xdr:row>32</xdr:row>
      <xdr:rowOff>161925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34</xdr:row>
      <xdr:rowOff>0</xdr:rowOff>
    </xdr:from>
    <xdr:to>
      <xdr:col>8</xdr:col>
      <xdr:colOff>95251</xdr:colOff>
      <xdr:row>50</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22413</xdr:colOff>
      <xdr:row>32</xdr:row>
      <xdr:rowOff>116542</xdr:rowOff>
    </xdr:from>
    <xdr:to>
      <xdr:col>22</xdr:col>
      <xdr:colOff>347383</xdr:colOff>
      <xdr:row>52</xdr:row>
      <xdr:rowOff>22411</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1210234</xdr:colOff>
      <xdr:row>88</xdr:row>
      <xdr:rowOff>152399</xdr:rowOff>
    </xdr:from>
    <xdr:to>
      <xdr:col>22</xdr:col>
      <xdr:colOff>156881</xdr:colOff>
      <xdr:row>107</xdr:row>
      <xdr:rowOff>56029</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1311087</xdr:colOff>
      <xdr:row>148</xdr:row>
      <xdr:rowOff>6723</xdr:rowOff>
    </xdr:from>
    <xdr:to>
      <xdr:col>22</xdr:col>
      <xdr:colOff>257734</xdr:colOff>
      <xdr:row>166</xdr:row>
      <xdr:rowOff>78441</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220</xdr:row>
      <xdr:rowOff>14729</xdr:rowOff>
    </xdr:from>
    <xdr:to>
      <xdr:col>30</xdr:col>
      <xdr:colOff>65807</xdr:colOff>
      <xdr:row>236</xdr:row>
      <xdr:rowOff>68518</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857250</xdr:colOff>
      <xdr:row>220</xdr:row>
      <xdr:rowOff>73637</xdr:rowOff>
    </xdr:from>
    <xdr:to>
      <xdr:col>7</xdr:col>
      <xdr:colOff>176893</xdr:colOff>
      <xdr:row>236</xdr:row>
      <xdr:rowOff>127426</xdr:rowOff>
    </xdr:to>
    <xdr:graphicFrame macro="">
      <xdr:nvGraphicFramePr>
        <xdr:cNvPr id="18" name="グラフ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500895</xdr:colOff>
      <xdr:row>220</xdr:row>
      <xdr:rowOff>48825</xdr:rowOff>
    </xdr:from>
    <xdr:to>
      <xdr:col>18</xdr:col>
      <xdr:colOff>243318</xdr:colOff>
      <xdr:row>236</xdr:row>
      <xdr:rowOff>102614</xdr:rowOff>
    </xdr:to>
    <xdr:graphicFrame macro="">
      <xdr:nvGraphicFramePr>
        <xdr:cNvPr id="19" name="グラフ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
  <sheetViews>
    <sheetView tabSelected="1" workbookViewId="0">
      <selection activeCell="B31" sqref="B31"/>
    </sheetView>
  </sheetViews>
  <sheetFormatPr defaultColWidth="9" defaultRowHeight="13.5" x14ac:dyDescent="0.15"/>
  <cols>
    <col min="1" max="1" width="9" style="114"/>
    <col min="2" max="2" width="25.625" style="114" customWidth="1"/>
    <col min="3" max="3" width="9" style="113"/>
    <col min="4" max="16384" width="9" style="114"/>
  </cols>
  <sheetData>
    <row r="2" spans="2:4" x14ac:dyDescent="0.15">
      <c r="B2" s="189" t="s">
        <v>0</v>
      </c>
      <c r="C2" s="24" t="s">
        <v>1</v>
      </c>
      <c r="D2" s="189" t="s">
        <v>2</v>
      </c>
    </row>
    <row r="3" spans="2:4" x14ac:dyDescent="0.15">
      <c r="B3" s="192" t="s">
        <v>3</v>
      </c>
      <c r="C3" s="17">
        <v>120</v>
      </c>
      <c r="D3" s="4" t="s">
        <v>4</v>
      </c>
    </row>
    <row r="4" spans="2:4" x14ac:dyDescent="0.15">
      <c r="B4" s="192" t="s">
        <v>5</v>
      </c>
      <c r="C4" s="17">
        <v>21000</v>
      </c>
      <c r="D4" s="4" t="s">
        <v>6</v>
      </c>
    </row>
    <row r="5" spans="2:4" x14ac:dyDescent="0.15">
      <c r="B5" s="192" t="s">
        <v>7</v>
      </c>
      <c r="C5" s="26">
        <v>1</v>
      </c>
      <c r="D5" s="5" t="s">
        <v>8</v>
      </c>
    </row>
    <row r="6" spans="2:4" x14ac:dyDescent="0.15">
      <c r="B6" s="4" t="s">
        <v>9</v>
      </c>
      <c r="C6" s="17">
        <f>+C4*C7</f>
        <v>15750</v>
      </c>
      <c r="D6" s="4" t="s">
        <v>6</v>
      </c>
    </row>
    <row r="7" spans="2:4" x14ac:dyDescent="0.15">
      <c r="B7" s="4" t="s">
        <v>10</v>
      </c>
      <c r="C7" s="193">
        <v>0.75</v>
      </c>
      <c r="D7" s="5" t="s">
        <v>8</v>
      </c>
    </row>
  </sheetData>
  <phoneticPr fontId="30"/>
  <pageMargins left="0.69930555555555596" right="0.69930555555555596"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5"/>
  <sheetViews>
    <sheetView showGridLines="0" zoomScale="85" zoomScaleNormal="85" workbookViewId="0">
      <selection activeCell="P20" sqref="P20"/>
    </sheetView>
  </sheetViews>
  <sheetFormatPr defaultColWidth="9" defaultRowHeight="13.5" outlineLevelCol="1" x14ac:dyDescent="0.15"/>
  <cols>
    <col min="1" max="1" width="7.125" customWidth="1"/>
    <col min="2" max="2" width="35.125" customWidth="1"/>
    <col min="8" max="11" width="9" customWidth="1" outlineLevel="1"/>
    <col min="13" max="16" width="9" customWidth="1" outlineLevel="1"/>
    <col min="18" max="21" width="9" customWidth="1" outlineLevel="1"/>
    <col min="23" max="26" width="9" customWidth="1" outlineLevel="1"/>
  </cols>
  <sheetData>
    <row r="2" spans="1:31" x14ac:dyDescent="0.15">
      <c r="A2" s="241" t="s">
        <v>11</v>
      </c>
      <c r="B2" s="242"/>
      <c r="C2" s="152" t="str">
        <f>'整備の現状、人口見通し'!E8</f>
        <v>1（現在）</v>
      </c>
      <c r="D2" s="152">
        <f>'整備の現状、人口見通し'!F8</f>
        <v>2</v>
      </c>
      <c r="E2" s="152">
        <f>'整備の現状、人口見通し'!G8</f>
        <v>3</v>
      </c>
      <c r="F2" s="152">
        <f>'整備の現状、人口見通し'!H8</f>
        <v>4</v>
      </c>
      <c r="G2" s="152">
        <f>'整備の現状、人口見通し'!I8</f>
        <v>5</v>
      </c>
      <c r="H2" s="152">
        <f>'整備の現状、人口見通し'!J8</f>
        <v>6</v>
      </c>
      <c r="I2" s="152">
        <f>'整備の現状、人口見通し'!K8</f>
        <v>7</v>
      </c>
      <c r="J2" s="152">
        <f>'整備の現状、人口見通し'!L8</f>
        <v>8</v>
      </c>
      <c r="K2" s="152">
        <f>'整備の現状、人口見通し'!M8</f>
        <v>9</v>
      </c>
      <c r="L2" s="152">
        <f>'整備の現状、人口見通し'!N8</f>
        <v>10</v>
      </c>
      <c r="M2" s="152">
        <f>'整備の現状、人口見通し'!O8</f>
        <v>11</v>
      </c>
      <c r="N2" s="152">
        <f>'整備の現状、人口見通し'!P8</f>
        <v>12</v>
      </c>
      <c r="O2" s="152">
        <f>'整備の現状、人口見通し'!Q8</f>
        <v>13</v>
      </c>
      <c r="P2" s="152">
        <f>'整備の現状、人口見通し'!R8</f>
        <v>14</v>
      </c>
      <c r="Q2" s="152">
        <f>'整備の現状、人口見通し'!S8</f>
        <v>15</v>
      </c>
      <c r="R2" s="152">
        <f>'整備の現状、人口見通し'!T8</f>
        <v>16</v>
      </c>
      <c r="S2" s="152">
        <f>'整備の現状、人口見通し'!U8</f>
        <v>17</v>
      </c>
      <c r="T2" s="152">
        <f>'整備の現状、人口見通し'!V8</f>
        <v>18</v>
      </c>
      <c r="U2" s="152">
        <f>'整備の現状、人口見通し'!W8</f>
        <v>19</v>
      </c>
      <c r="V2" s="152">
        <f>'整備の現状、人口見通し'!X8</f>
        <v>20</v>
      </c>
      <c r="W2" s="152">
        <f>'整備の現状、人口見通し'!Y8</f>
        <v>21</v>
      </c>
      <c r="X2" s="152">
        <f>'整備の現状、人口見通し'!Z8</f>
        <v>22</v>
      </c>
      <c r="Y2" s="152">
        <f>'整備の現状、人口見通し'!AA8</f>
        <v>23</v>
      </c>
      <c r="Z2" s="152">
        <f>'整備の現状、人口見通し'!AB8</f>
        <v>24</v>
      </c>
      <c r="AA2" s="152">
        <f>'整備の現状、人口見通し'!AC8</f>
        <v>25</v>
      </c>
    </row>
    <row r="3" spans="1:31" ht="14.25" customHeight="1" x14ac:dyDescent="0.15">
      <c r="A3" s="243" t="s">
        <v>108</v>
      </c>
      <c r="B3" s="244"/>
      <c r="C3" s="153">
        <v>21000</v>
      </c>
      <c r="D3" s="153">
        <v>20930</v>
      </c>
      <c r="E3" s="153">
        <v>20846</v>
      </c>
      <c r="F3" s="153">
        <v>20748</v>
      </c>
      <c r="G3" s="153">
        <v>20636</v>
      </c>
      <c r="H3" s="153">
        <v>20510</v>
      </c>
      <c r="I3" s="153">
        <v>20370</v>
      </c>
      <c r="J3" s="153">
        <v>20216</v>
      </c>
      <c r="K3" s="153">
        <v>20048</v>
      </c>
      <c r="L3" s="153">
        <v>19866</v>
      </c>
      <c r="M3" s="153">
        <v>19670</v>
      </c>
      <c r="N3" s="153">
        <v>19460</v>
      </c>
      <c r="O3" s="153">
        <v>19236</v>
      </c>
      <c r="P3" s="153">
        <v>18998</v>
      </c>
      <c r="Q3" s="153">
        <v>18746</v>
      </c>
      <c r="R3" s="153">
        <v>18480</v>
      </c>
      <c r="S3" s="153">
        <v>18200</v>
      </c>
      <c r="T3" s="153">
        <v>17906</v>
      </c>
      <c r="U3" s="153">
        <v>17598</v>
      </c>
      <c r="V3" s="153">
        <v>17276</v>
      </c>
      <c r="W3" s="153">
        <v>16940</v>
      </c>
      <c r="X3" s="153">
        <v>16590</v>
      </c>
      <c r="Y3" s="153">
        <v>16226</v>
      </c>
      <c r="Z3" s="153">
        <v>15848</v>
      </c>
      <c r="AA3" s="153">
        <v>15456</v>
      </c>
    </row>
    <row r="4" spans="1:31" ht="14.25" customHeight="1" x14ac:dyDescent="0.15">
      <c r="A4" s="245" t="s">
        <v>109</v>
      </c>
      <c r="B4" s="154" t="s">
        <v>110</v>
      </c>
      <c r="C4" s="155">
        <f>'整備の現状、人口見通し'!E11</f>
        <v>14000</v>
      </c>
      <c r="D4" s="155">
        <f>'整備の現状、人口見通し'!F11</f>
        <v>13953</v>
      </c>
      <c r="E4" s="155">
        <f>'整備の現状、人口見通し'!G11</f>
        <v>13897</v>
      </c>
      <c r="F4" s="155">
        <f>'整備の現状、人口見通し'!H11</f>
        <v>13832</v>
      </c>
      <c r="G4" s="155">
        <f>'整備の現状、人口見通し'!I11</f>
        <v>13757</v>
      </c>
      <c r="H4" s="155">
        <f>'整備の現状、人口見通し'!J11</f>
        <v>13673</v>
      </c>
      <c r="I4" s="155">
        <f>'整備の現状、人口見通し'!K11</f>
        <v>13580</v>
      </c>
      <c r="J4" s="155">
        <f>'整備の現状、人口見通し'!L11</f>
        <v>13477</v>
      </c>
      <c r="K4" s="155">
        <f>'整備の現状、人口見通し'!M11</f>
        <v>13365</v>
      </c>
      <c r="L4" s="155">
        <f>'整備の現状、人口見通し'!N11</f>
        <v>13244</v>
      </c>
      <c r="M4" s="155">
        <f>'整備の現状、人口見通し'!O11</f>
        <v>13113</v>
      </c>
      <c r="N4" s="155">
        <f>'整備の現状、人口見通し'!P11</f>
        <v>12973</v>
      </c>
      <c r="O4" s="155">
        <f>'整備の現状、人口見通し'!Q11</f>
        <v>12824</v>
      </c>
      <c r="P4" s="155">
        <f>'整備の現状、人口見通し'!R11</f>
        <v>12665</v>
      </c>
      <c r="Q4" s="155">
        <f>'整備の現状、人口見通し'!S11</f>
        <v>12497</v>
      </c>
      <c r="R4" s="155">
        <f>'整備の現状、人口見通し'!T11</f>
        <v>12320</v>
      </c>
      <c r="S4" s="155">
        <f>'整備の現状、人口見通し'!U11</f>
        <v>12133</v>
      </c>
      <c r="T4" s="155">
        <f>'整備の現状、人口見通し'!V11</f>
        <v>11937</v>
      </c>
      <c r="U4" s="155">
        <f>'整備の現状、人口見通し'!W11</f>
        <v>11732</v>
      </c>
      <c r="V4" s="155">
        <f>'整備の現状、人口見通し'!X11</f>
        <v>11517</v>
      </c>
      <c r="W4" s="155">
        <f>'整備の現状、人口見通し'!Y11</f>
        <v>11293</v>
      </c>
      <c r="X4" s="155">
        <f>'整備の現状、人口見通し'!Z11</f>
        <v>11060</v>
      </c>
      <c r="Y4" s="155">
        <f>'整備の現状、人口見通し'!AA11</f>
        <v>10817</v>
      </c>
      <c r="Z4" s="155">
        <f>'整備の現状、人口見通し'!AB11</f>
        <v>10565</v>
      </c>
      <c r="AA4" s="155">
        <f>'整備の現状、人口見通し'!AC11</f>
        <v>10304</v>
      </c>
      <c r="AC4" s="126" t="s">
        <v>111</v>
      </c>
      <c r="AD4" s="126">
        <v>180</v>
      </c>
      <c r="AE4" t="s">
        <v>112</v>
      </c>
    </row>
    <row r="5" spans="1:31" ht="14.25" customHeight="1" x14ac:dyDescent="0.15">
      <c r="A5" s="246"/>
      <c r="B5" s="47" t="s">
        <v>113</v>
      </c>
      <c r="C5" s="155">
        <f>'整備の現状、人口見通し'!E12</f>
        <v>7000</v>
      </c>
      <c r="D5" s="155">
        <f>'整備の現状、人口見通し'!F12</f>
        <v>6977</v>
      </c>
      <c r="E5" s="155">
        <f>'整備の現状、人口見通し'!G12</f>
        <v>6949</v>
      </c>
      <c r="F5" s="155">
        <f>'整備の現状、人口見通し'!H12</f>
        <v>6916</v>
      </c>
      <c r="G5" s="155">
        <f>'整備の現状、人口見通し'!I12</f>
        <v>6879</v>
      </c>
      <c r="H5" s="155">
        <f>'整備の現状、人口見通し'!J12</f>
        <v>6837</v>
      </c>
      <c r="I5" s="155">
        <f>'整備の現状、人口見通し'!K12</f>
        <v>6790</v>
      </c>
      <c r="J5" s="155">
        <f>'整備の現状、人口見通し'!L12</f>
        <v>6739</v>
      </c>
      <c r="K5" s="155">
        <f>'整備の現状、人口見通し'!M12</f>
        <v>6683</v>
      </c>
      <c r="L5" s="155">
        <f>'整備の現状、人口見通し'!N12</f>
        <v>6622</v>
      </c>
      <c r="M5" s="155">
        <f>'整備の現状、人口見通し'!O12</f>
        <v>6557</v>
      </c>
      <c r="N5" s="155">
        <f>'整備の現状、人口見通し'!P12</f>
        <v>6487</v>
      </c>
      <c r="O5" s="155">
        <f>'整備の現状、人口見通し'!Q12</f>
        <v>6412</v>
      </c>
      <c r="P5" s="155">
        <f>'整備の現状、人口見通し'!R12</f>
        <v>6333</v>
      </c>
      <c r="Q5" s="155">
        <f>'整備の現状、人口見通し'!S12</f>
        <v>6249</v>
      </c>
      <c r="R5" s="155">
        <f>'整備の現状、人口見通し'!T12</f>
        <v>6160</v>
      </c>
      <c r="S5" s="155">
        <f>'整備の現状、人口見通し'!U12</f>
        <v>6067</v>
      </c>
      <c r="T5" s="155">
        <f>'整備の現状、人口見通し'!V12</f>
        <v>5969</v>
      </c>
      <c r="U5" s="155">
        <f>'整備の現状、人口見通し'!W12</f>
        <v>5866</v>
      </c>
      <c r="V5" s="155">
        <f>'整備の現状、人口見通し'!X12</f>
        <v>5759</v>
      </c>
      <c r="W5" s="155">
        <f>'整備の現状、人口見通し'!Y12</f>
        <v>5647</v>
      </c>
      <c r="X5" s="155">
        <f>'整備の現状、人口見通し'!Z12</f>
        <v>5530</v>
      </c>
      <c r="Y5" s="155">
        <f>'整備の現状、人口見通し'!AA12</f>
        <v>5409</v>
      </c>
      <c r="Z5" s="155">
        <f>'整備の現状、人口見通し'!AB12</f>
        <v>5283</v>
      </c>
      <c r="AA5" s="155">
        <f>'整備の現状、人口見通し'!AC12</f>
        <v>5152</v>
      </c>
      <c r="AC5" s="126" t="s">
        <v>114</v>
      </c>
      <c r="AD5" s="126">
        <v>95</v>
      </c>
      <c r="AE5" t="s">
        <v>8</v>
      </c>
    </row>
    <row r="6" spans="1:31" ht="14.25" customHeight="1" x14ac:dyDescent="0.15">
      <c r="A6" s="247" t="s">
        <v>116</v>
      </c>
      <c r="B6" s="150" t="s">
        <v>117</v>
      </c>
      <c r="C6" s="156">
        <f>流入水量!D7</f>
        <v>4060</v>
      </c>
      <c r="D6" s="156">
        <f>流入水量!E7</f>
        <v>4046.37</v>
      </c>
      <c r="E6" s="156">
        <f>流入水量!F7</f>
        <v>4030.13</v>
      </c>
      <c r="F6" s="156">
        <f>流入水量!G7</f>
        <v>4011.28</v>
      </c>
      <c r="G6" s="156">
        <f>流入水量!H7</f>
        <v>3989.53</v>
      </c>
      <c r="H6" s="156">
        <f>流入水量!I7</f>
        <v>3965.17</v>
      </c>
      <c r="I6" s="156">
        <f>流入水量!J7</f>
        <v>3938.2</v>
      </c>
      <c r="J6" s="156">
        <f>流入水量!K7</f>
        <v>3908.33</v>
      </c>
      <c r="K6" s="156">
        <f>流入水量!L7</f>
        <v>3875.85</v>
      </c>
      <c r="L6" s="156">
        <f>流入水量!M7</f>
        <v>3840.76</v>
      </c>
      <c r="M6" s="156">
        <f>流入水量!N7</f>
        <v>3802.77</v>
      </c>
      <c r="N6" s="156">
        <f>流入水量!O7</f>
        <v>3762.17</v>
      </c>
      <c r="O6" s="156">
        <f>流入水量!P7</f>
        <v>3718.96</v>
      </c>
      <c r="P6" s="156">
        <f>流入水量!Q7</f>
        <v>3672.85</v>
      </c>
      <c r="Q6" s="156">
        <f>流入水量!R7</f>
        <v>3624.13</v>
      </c>
      <c r="R6" s="156">
        <f>流入水量!S7</f>
        <v>3572.8</v>
      </c>
      <c r="S6" s="156">
        <f>流入水量!T7</f>
        <v>3518.57</v>
      </c>
      <c r="T6" s="156">
        <f>流入水量!U7</f>
        <v>3461.73</v>
      </c>
      <c r="U6" s="156">
        <f>流入水量!V7</f>
        <v>3402.28</v>
      </c>
      <c r="V6" s="156">
        <f>流入水量!W7</f>
        <v>3339.93</v>
      </c>
      <c r="W6" s="156">
        <f>流入水量!X7</f>
        <v>3274.97</v>
      </c>
      <c r="X6" s="156">
        <f>流入水量!Y7</f>
        <v>3207.4</v>
      </c>
      <c r="Y6" s="156">
        <f>流入水量!Z7</f>
        <v>3136.93</v>
      </c>
      <c r="Z6" s="156">
        <f>流入水量!AA7</f>
        <v>3063.85</v>
      </c>
      <c r="AA6" s="156">
        <f>流入水量!AB7</f>
        <v>2988.16</v>
      </c>
      <c r="AC6" s="126"/>
      <c r="AD6" s="126">
        <v>75</v>
      </c>
      <c r="AE6" t="s">
        <v>8</v>
      </c>
    </row>
    <row r="7" spans="1:31" ht="14.25" customHeight="1" x14ac:dyDescent="0.15">
      <c r="A7" s="248"/>
      <c r="B7" s="150" t="s">
        <v>118</v>
      </c>
      <c r="C7" s="156">
        <f>+C6/0.7</f>
        <v>5800</v>
      </c>
      <c r="D7" s="156">
        <f t="shared" ref="D7:AA7" si="0">+D6/0.7</f>
        <v>5780.5285714285719</v>
      </c>
      <c r="E7" s="156">
        <f t="shared" si="0"/>
        <v>5757.3285714285721</v>
      </c>
      <c r="F7" s="156">
        <f t="shared" si="0"/>
        <v>5730.4000000000005</v>
      </c>
      <c r="G7" s="156">
        <f t="shared" si="0"/>
        <v>5699.3285714285721</v>
      </c>
      <c r="H7" s="156">
        <f t="shared" si="0"/>
        <v>5664.5285714285719</v>
      </c>
      <c r="I7" s="156">
        <f t="shared" si="0"/>
        <v>5626</v>
      </c>
      <c r="J7" s="156">
        <f t="shared" si="0"/>
        <v>5583.3285714285721</v>
      </c>
      <c r="K7" s="156">
        <f t="shared" si="0"/>
        <v>5536.9285714285716</v>
      </c>
      <c r="L7" s="156">
        <f t="shared" si="0"/>
        <v>5486.8000000000011</v>
      </c>
      <c r="M7" s="156">
        <f t="shared" si="0"/>
        <v>5432.5285714285719</v>
      </c>
      <c r="N7" s="156">
        <f t="shared" si="0"/>
        <v>5374.5285714285719</v>
      </c>
      <c r="O7" s="156">
        <f t="shared" si="0"/>
        <v>5312.8</v>
      </c>
      <c r="P7" s="156">
        <f t="shared" si="0"/>
        <v>5246.9285714285716</v>
      </c>
      <c r="Q7" s="156">
        <f t="shared" si="0"/>
        <v>5177.3285714285721</v>
      </c>
      <c r="R7" s="156">
        <f t="shared" si="0"/>
        <v>5104.0000000000009</v>
      </c>
      <c r="S7" s="156">
        <f t="shared" si="0"/>
        <v>5026.5285714285719</v>
      </c>
      <c r="T7" s="156">
        <f t="shared" si="0"/>
        <v>4945.3285714285721</v>
      </c>
      <c r="U7" s="156">
        <f t="shared" si="0"/>
        <v>4860.4000000000005</v>
      </c>
      <c r="V7" s="156">
        <f t="shared" si="0"/>
        <v>4771.3285714285712</v>
      </c>
      <c r="W7" s="156">
        <f t="shared" si="0"/>
        <v>4678.528571428571</v>
      </c>
      <c r="X7" s="156">
        <f t="shared" si="0"/>
        <v>4582</v>
      </c>
      <c r="Y7" s="156">
        <f t="shared" si="0"/>
        <v>4481.3285714285712</v>
      </c>
      <c r="Z7" s="156">
        <f t="shared" si="0"/>
        <v>4376.9285714285716</v>
      </c>
      <c r="AA7" s="156">
        <f t="shared" si="0"/>
        <v>4268.8</v>
      </c>
      <c r="AC7" s="126" t="s">
        <v>119</v>
      </c>
      <c r="AD7" s="126">
        <v>1</v>
      </c>
      <c r="AE7" t="s">
        <v>8</v>
      </c>
    </row>
    <row r="8" spans="1:31" ht="14.25" customHeight="1" x14ac:dyDescent="0.15">
      <c r="A8" s="248"/>
      <c r="B8" s="150" t="s">
        <v>120</v>
      </c>
      <c r="C8" s="156">
        <f>流入水量!D8</f>
        <v>2030</v>
      </c>
      <c r="D8" s="156">
        <f>流入水量!E8</f>
        <v>2023.33</v>
      </c>
      <c r="E8" s="156">
        <f>流入水量!F8</f>
        <v>2015.21</v>
      </c>
      <c r="F8" s="156">
        <f>流入水量!G8</f>
        <v>2005.64</v>
      </c>
      <c r="G8" s="156">
        <f>流入水量!H8</f>
        <v>1994.91</v>
      </c>
      <c r="H8" s="156">
        <f>流入水量!I8</f>
        <v>1982.73</v>
      </c>
      <c r="I8" s="156">
        <f>流入水量!J8</f>
        <v>1969.1</v>
      </c>
      <c r="J8" s="156">
        <f>流入水量!K8</f>
        <v>1954.31</v>
      </c>
      <c r="K8" s="156">
        <f>流入水量!L8</f>
        <v>1938.07</v>
      </c>
      <c r="L8" s="156">
        <f>流入水量!M8</f>
        <v>1920.38</v>
      </c>
      <c r="M8" s="156">
        <f>流入水量!N8</f>
        <v>1901.53</v>
      </c>
      <c r="N8" s="156">
        <f>流入水量!O8</f>
        <v>1881.23</v>
      </c>
      <c r="O8" s="156">
        <f>流入水量!P8</f>
        <v>1859.48</v>
      </c>
      <c r="P8" s="156">
        <f>流入水量!Q8</f>
        <v>1836.57</v>
      </c>
      <c r="Q8" s="156">
        <f>流入水量!R8</f>
        <v>1812.21</v>
      </c>
      <c r="R8" s="156">
        <f>流入水量!S8</f>
        <v>1786.4</v>
      </c>
      <c r="S8" s="156">
        <f>流入水量!T8</f>
        <v>1759.43</v>
      </c>
      <c r="T8" s="156">
        <f>流入水量!U8</f>
        <v>1731.01</v>
      </c>
      <c r="U8" s="156">
        <f>流入水量!V8</f>
        <v>1701.14</v>
      </c>
      <c r="V8" s="156">
        <f>流入水量!W8</f>
        <v>1670.11</v>
      </c>
      <c r="W8" s="156">
        <f>流入水量!X8</f>
        <v>1637.63</v>
      </c>
      <c r="X8" s="156">
        <f>流入水量!Y8</f>
        <v>1603.7</v>
      </c>
      <c r="Y8" s="156">
        <f>流入水量!Z8</f>
        <v>1568.61</v>
      </c>
      <c r="Z8" s="156">
        <f>流入水量!AA8</f>
        <v>1532.07</v>
      </c>
      <c r="AA8" s="156">
        <f>流入水量!AB8</f>
        <v>1494.08</v>
      </c>
      <c r="AC8" s="126"/>
      <c r="AD8" s="126">
        <v>0.75</v>
      </c>
      <c r="AE8" t="s">
        <v>8</v>
      </c>
    </row>
    <row r="9" spans="1:31" ht="14.25" customHeight="1" x14ac:dyDescent="0.15">
      <c r="A9" s="249"/>
      <c r="B9" s="150" t="s">
        <v>121</v>
      </c>
      <c r="C9" s="156">
        <f>+C8/0.7</f>
        <v>2900</v>
      </c>
      <c r="D9" s="156">
        <f t="shared" ref="D9" si="1">+D8/0.7</f>
        <v>2890.4714285714285</v>
      </c>
      <c r="E9" s="156">
        <f t="shared" ref="E9" si="2">+E8/0.7</f>
        <v>2878.8714285714286</v>
      </c>
      <c r="F9" s="156">
        <f t="shared" ref="F9" si="3">+F8/0.7</f>
        <v>2865.2000000000003</v>
      </c>
      <c r="G9" s="156">
        <f t="shared" ref="G9" si="4">+G8/0.7</f>
        <v>2849.8714285714291</v>
      </c>
      <c r="H9" s="156">
        <f t="shared" ref="H9" si="5">+H8/0.7</f>
        <v>2832.471428571429</v>
      </c>
      <c r="I9" s="156">
        <f t="shared" ref="I9" si="6">+I8/0.7</f>
        <v>2813</v>
      </c>
      <c r="J9" s="156">
        <f t="shared" ref="J9" si="7">+J8/0.7</f>
        <v>2791.8714285714286</v>
      </c>
      <c r="K9" s="156">
        <f t="shared" ref="K9" si="8">+K8/0.7</f>
        <v>2768.6714285714288</v>
      </c>
      <c r="L9" s="156">
        <f t="shared" ref="L9" si="9">+L8/0.7</f>
        <v>2743.4000000000005</v>
      </c>
      <c r="M9" s="156">
        <f t="shared" ref="M9" si="10">+M8/0.7</f>
        <v>2716.4714285714285</v>
      </c>
      <c r="N9" s="156">
        <f t="shared" ref="N9" si="11">+N8/0.7</f>
        <v>2687.471428571429</v>
      </c>
      <c r="O9" s="156">
        <f t="shared" ref="O9" si="12">+O8/0.7</f>
        <v>2656.4</v>
      </c>
      <c r="P9" s="156">
        <f t="shared" ref="P9" si="13">+P8/0.7</f>
        <v>2623.6714285714288</v>
      </c>
      <c r="Q9" s="156">
        <f t="shared" ref="Q9" si="14">+Q8/0.7</f>
        <v>2588.8714285714286</v>
      </c>
      <c r="R9" s="156">
        <f t="shared" ref="R9" si="15">+R8/0.7</f>
        <v>2552.0000000000005</v>
      </c>
      <c r="S9" s="156">
        <f t="shared" ref="S9" si="16">+S8/0.7</f>
        <v>2513.471428571429</v>
      </c>
      <c r="T9" s="156">
        <f t="shared" ref="T9" si="17">+T8/0.7</f>
        <v>2472.8714285714286</v>
      </c>
      <c r="U9" s="156">
        <f t="shared" ref="U9" si="18">+U8/0.7</f>
        <v>2430.2000000000003</v>
      </c>
      <c r="V9" s="156">
        <f t="shared" ref="V9" si="19">+V8/0.7</f>
        <v>2385.8714285714286</v>
      </c>
      <c r="W9" s="156">
        <f t="shared" ref="W9" si="20">+W8/0.7</f>
        <v>2339.471428571429</v>
      </c>
      <c r="X9" s="156">
        <f t="shared" ref="X9" si="21">+X8/0.7</f>
        <v>2291</v>
      </c>
      <c r="Y9" s="156">
        <f t="shared" ref="Y9" si="22">+Y8/0.7</f>
        <v>2240.8714285714286</v>
      </c>
      <c r="Z9" s="156">
        <f t="shared" ref="Z9:AA9" si="23">+Z8/0.7</f>
        <v>2188.6714285714288</v>
      </c>
      <c r="AA9" s="156">
        <f t="shared" si="23"/>
        <v>2134.4</v>
      </c>
    </row>
    <row r="10" spans="1:31" ht="14.25" customHeight="1" x14ac:dyDescent="0.15">
      <c r="A10" s="250" t="s">
        <v>86</v>
      </c>
      <c r="B10" s="157" t="s">
        <v>122</v>
      </c>
      <c r="C10" s="158">
        <f>C6/処理能力と稼働率!$D7</f>
        <v>0.45111111111111113</v>
      </c>
      <c r="D10" s="158">
        <f>D6/処理能力と稼働率!$D7</f>
        <v>0.44959666666666664</v>
      </c>
      <c r="E10" s="158">
        <f>E6/処理能力と稼働率!$D7</f>
        <v>0.44779222222222226</v>
      </c>
      <c r="F10" s="158">
        <f>F6/処理能力と稼働率!$D7</f>
        <v>0.4456977777777778</v>
      </c>
      <c r="G10" s="158">
        <f>G6/処理能力と稼働率!$D7</f>
        <v>0.44328111111111113</v>
      </c>
      <c r="H10" s="158">
        <f>H6/処理能力と稼働率!$D7</f>
        <v>0.44057444444444444</v>
      </c>
      <c r="I10" s="158">
        <f>I6/処理能力と稼働率!$D7</f>
        <v>0.43757777777777773</v>
      </c>
      <c r="J10" s="158">
        <f>J6/処理能力と稼働率!$D7</f>
        <v>0.43425888888888886</v>
      </c>
      <c r="K10" s="158">
        <f>K6/処理能力と稼働率!$D7</f>
        <v>0.43064999999999998</v>
      </c>
      <c r="L10" s="158">
        <f>L6/処理能力と稼働率!$D7</f>
        <v>0.42675111111111114</v>
      </c>
      <c r="M10" s="158">
        <f>M6/処理能力と稼働率!$D7</f>
        <v>0.42253000000000002</v>
      </c>
      <c r="N10" s="158">
        <f>N6/処理能力と稼働率!$D7</f>
        <v>0.41801888888888888</v>
      </c>
      <c r="O10" s="158">
        <f>O6/処理能力と稼働率!$D7</f>
        <v>0.41321777777777779</v>
      </c>
      <c r="P10" s="158">
        <f>P6/処理能力と稼働率!$D7</f>
        <v>0.40809444444444443</v>
      </c>
      <c r="Q10" s="158">
        <f>Q6/処理能力と稼働率!$D7</f>
        <v>0.4026811111111111</v>
      </c>
      <c r="R10" s="158">
        <f>R6/処理能力と稼働率!$D7</f>
        <v>0.39697777777777782</v>
      </c>
      <c r="S10" s="158">
        <f>S6/処理能力と稼働率!$D7</f>
        <v>0.39095222222222226</v>
      </c>
      <c r="T10" s="158">
        <f>T6/処理能力と稼働率!$D7</f>
        <v>0.38463666666666668</v>
      </c>
      <c r="U10" s="158">
        <f>U6/処理能力と稼働率!$D7</f>
        <v>0.37803111111111115</v>
      </c>
      <c r="V10" s="158">
        <f>V6/処理能力と稼働率!$D7</f>
        <v>0.37110333333333334</v>
      </c>
      <c r="W10" s="158">
        <f>W6/処理能力と稼働率!$D7</f>
        <v>0.36388555555555552</v>
      </c>
      <c r="X10" s="158">
        <f>X6/処理能力と稼働率!$D7</f>
        <v>0.35637777777777779</v>
      </c>
      <c r="Y10" s="158">
        <f>Y6/処理能力と稼働率!$D7</f>
        <v>0.34854777777777773</v>
      </c>
      <c r="Z10" s="158">
        <f>Z6/処理能力と稼働率!$D7</f>
        <v>0.34042777777777777</v>
      </c>
      <c r="AA10" s="158">
        <f>AA6/処理能力と稼働率!$D7</f>
        <v>0.33201777777777775</v>
      </c>
    </row>
    <row r="11" spans="1:31" ht="14.25" customHeight="1" x14ac:dyDescent="0.15">
      <c r="A11" s="251"/>
      <c r="B11" s="37" t="s">
        <v>123</v>
      </c>
      <c r="C11" s="158">
        <f>C8/処理能力と稼働率!$D8</f>
        <v>0.43191489361702129</v>
      </c>
      <c r="D11" s="158">
        <f>D8/処理能力と稼働率!$D8</f>
        <v>0.43049574468085106</v>
      </c>
      <c r="E11" s="158">
        <f>E8/処理能力と稼働率!$D8</f>
        <v>0.42876808510638298</v>
      </c>
      <c r="F11" s="158">
        <f>F8/処理能力と稼働率!$D8</f>
        <v>0.42673191489361706</v>
      </c>
      <c r="G11" s="158">
        <f>G8/処理能力と稼働率!$D8</f>
        <v>0.42444893617021279</v>
      </c>
      <c r="H11" s="158">
        <f>H8/処理能力と稼働率!$D8</f>
        <v>0.42185744680851062</v>
      </c>
      <c r="I11" s="158">
        <f>I8/処理能力と稼働率!$D8</f>
        <v>0.4189574468085106</v>
      </c>
      <c r="J11" s="158">
        <f>J8/処理能力と稼働率!$D8</f>
        <v>0.41581063829787235</v>
      </c>
      <c r="K11" s="158">
        <f>K8/処理能力と稼働率!$D8</f>
        <v>0.41235531914893614</v>
      </c>
      <c r="L11" s="158">
        <f>L8/処理能力と稼働率!$D8</f>
        <v>0.40859148936170214</v>
      </c>
      <c r="M11" s="158">
        <f>M8/処理能力と稼働率!$D8</f>
        <v>0.40458085106382979</v>
      </c>
      <c r="N11" s="158">
        <f>N8/処理能力と稼働率!$D8</f>
        <v>0.4002617021276596</v>
      </c>
      <c r="O11" s="158">
        <f>O8/処理能力と稼働率!$D8</f>
        <v>0.39563404255319151</v>
      </c>
      <c r="P11" s="158">
        <f>P8/処理能力と稼働率!$D8</f>
        <v>0.39075957446808507</v>
      </c>
      <c r="Q11" s="158">
        <f>Q8/処理能力と稼働率!$D8</f>
        <v>0.38557659574468084</v>
      </c>
      <c r="R11" s="158">
        <f>R8/処理能力と稼働率!$D8</f>
        <v>0.38008510638297877</v>
      </c>
      <c r="S11" s="158">
        <f>S8/処理能力と稼働率!$D8</f>
        <v>0.37434680851063828</v>
      </c>
      <c r="T11" s="158">
        <f>T8/処理能力と稼働率!$D8</f>
        <v>0.36830000000000002</v>
      </c>
      <c r="U11" s="158">
        <f>U8/処理能力と稼働率!$D8</f>
        <v>0.36194468085106385</v>
      </c>
      <c r="V11" s="158">
        <f>V8/処理能力と稼働率!$D8</f>
        <v>0.35534255319148933</v>
      </c>
      <c r="W11" s="158">
        <f>W8/処理能力と稼働率!$D8</f>
        <v>0.34843191489361702</v>
      </c>
      <c r="X11" s="158">
        <f>X8/処理能力と稼働率!$D8</f>
        <v>0.34121276595744682</v>
      </c>
      <c r="Y11" s="158">
        <f>Y8/処理能力と稼働率!$D8</f>
        <v>0.33374680851063826</v>
      </c>
      <c r="Z11" s="158">
        <f>Z8/処理能力と稼働率!$D8</f>
        <v>0.32597234042553191</v>
      </c>
      <c r="AA11" s="158">
        <f>AA8/処理能力と稼働率!$D8</f>
        <v>0.31788936170212767</v>
      </c>
      <c r="AC11" s="126" t="s">
        <v>115</v>
      </c>
      <c r="AD11" s="126">
        <v>100</v>
      </c>
      <c r="AE11" t="s">
        <v>8</v>
      </c>
    </row>
    <row r="12" spans="1:31" ht="14.25" customHeight="1" x14ac:dyDescent="0.15">
      <c r="A12" s="238" t="s">
        <v>124</v>
      </c>
      <c r="B12" s="159" t="s">
        <v>117</v>
      </c>
      <c r="C12" s="160">
        <f>ROUND((C6*AD4/1000000*AD5/100*AD11/100)/(AD13/100),0)</f>
        <v>69</v>
      </c>
      <c r="D12" s="160">
        <f>ROUND((D6*AD4/1000000*AD5/100*AD11/100)/(AD13/100),0)</f>
        <v>69</v>
      </c>
      <c r="E12" s="160">
        <f>ROUND((E6*AD4/1000000*AD5/100*AD11/100)/(AD13/100),0)</f>
        <v>69</v>
      </c>
      <c r="F12" s="160">
        <f>ROUND((F6*AD4/1000000*AD5/100*AD11/100)/(AD13/100),0)</f>
        <v>69</v>
      </c>
      <c r="G12" s="160">
        <f>ROUND((G6*AD4/1000000*AD5/100*AD11/100)/(AD13/100),0)</f>
        <v>68</v>
      </c>
      <c r="H12" s="160">
        <f>ROUND((H6*AD4/1000000*AD5/100*AD11/100)/(AD13/100),0)</f>
        <v>68</v>
      </c>
      <c r="I12" s="160">
        <f>ROUND((I6*AD4/1000000*AD5/100*AD11/100)/(AD13/100),0)</f>
        <v>67</v>
      </c>
      <c r="J12" s="160">
        <f>ROUND((J6*AD4/1000000*AD5/100*AD11/100)/(AD13/100),0)</f>
        <v>67</v>
      </c>
      <c r="K12" s="160">
        <f>ROUND((K6*AD4/1000000*AD5/100*AD11/100)/(AD13/100),0)</f>
        <v>66</v>
      </c>
      <c r="L12" s="160">
        <f>ROUND((L6*AD4/1000000*AD5/100*AD11/100)/(AD13/100),0)</f>
        <v>66</v>
      </c>
      <c r="M12" s="160">
        <f>ROUND((M6*AD4/1000000*AD5/100*AD11/100)/(AD13/100),0)</f>
        <v>65</v>
      </c>
      <c r="N12" s="160">
        <f>ROUND((N6*AD4/1000000*AD5/100*AD11/100)/(AD13/100),0)</f>
        <v>64</v>
      </c>
      <c r="O12" s="160">
        <f>ROUND((O6*AD4/1000000*AD5/100*AD11/100)/(AD13/100),0)</f>
        <v>64</v>
      </c>
      <c r="P12" s="160">
        <f>ROUND((P6*AD4/1000000*AD5/100*AD11/100)/(AD13/100),0)</f>
        <v>63</v>
      </c>
      <c r="Q12" s="160">
        <f>ROUND((Q6*AD4/1000000*AD5/100*AD11/100)/(AD13/100),0)</f>
        <v>62</v>
      </c>
      <c r="R12" s="160">
        <f>ROUND((R6*AD4/1000000*AD5/100*AD11/100)/(AD13/100),0)</f>
        <v>61</v>
      </c>
      <c r="S12" s="160">
        <f>ROUND((S6*AD4/1000000*AD5/100*AD11/100)/(AD13/100),0)</f>
        <v>60</v>
      </c>
      <c r="T12" s="160">
        <f>ROUND((T6*AD4/1000000*AD5/100*AD11/100)/(AD13/100),0)</f>
        <v>59</v>
      </c>
      <c r="U12" s="160">
        <f>ROUND((U6*AD4/1000000*AD5/100*AD11/100)/(AD13/100),0)</f>
        <v>58</v>
      </c>
      <c r="V12" s="160">
        <f>ROUND((V6*AD4/1000000*AD5/100*AD11/100)/(AD13/100),0)</f>
        <v>57</v>
      </c>
      <c r="W12" s="160">
        <f>ROUND((W6*AD4/1000000*AD5/100*AD11/100)/(AD13/100),0)</f>
        <v>56</v>
      </c>
      <c r="X12" s="160">
        <f>ROUND((X6*AD4/1000000*AD5/100*AD11/100)/(AD13/100),0)</f>
        <v>55</v>
      </c>
      <c r="Y12" s="160">
        <f>ROUND((Y6*AD4/1000000*AD5/100*AD11/100)/(AD13/100),0)</f>
        <v>54</v>
      </c>
      <c r="Z12" s="160">
        <f>ROUND((Z6*AD4/1000000*AD5/100*AD11/100)/(AD13/100),0)</f>
        <v>52</v>
      </c>
      <c r="AA12" s="160">
        <f>ROUND((AA6*AD4/1000000*AD5/100*AD11/100)/(AD13/100),0)</f>
        <v>51</v>
      </c>
      <c r="AC12" s="126"/>
      <c r="AD12" s="126">
        <v>75</v>
      </c>
      <c r="AE12" t="s">
        <v>8</v>
      </c>
    </row>
    <row r="13" spans="1:31" ht="14.25" customHeight="1" x14ac:dyDescent="0.15">
      <c r="A13" s="239"/>
      <c r="B13" s="159" t="s">
        <v>118</v>
      </c>
      <c r="C13" s="160">
        <f>+C12/0.7</f>
        <v>98.571428571428584</v>
      </c>
      <c r="D13" s="160">
        <f t="shared" ref="D13:AA13" si="24">+D12/0.7</f>
        <v>98.571428571428584</v>
      </c>
      <c r="E13" s="160">
        <f t="shared" si="24"/>
        <v>98.571428571428584</v>
      </c>
      <c r="F13" s="160">
        <f t="shared" si="24"/>
        <v>98.571428571428584</v>
      </c>
      <c r="G13" s="160">
        <f t="shared" si="24"/>
        <v>97.142857142857153</v>
      </c>
      <c r="H13" s="160">
        <f t="shared" si="24"/>
        <v>97.142857142857153</v>
      </c>
      <c r="I13" s="160">
        <f t="shared" si="24"/>
        <v>95.714285714285722</v>
      </c>
      <c r="J13" s="160">
        <f t="shared" si="24"/>
        <v>95.714285714285722</v>
      </c>
      <c r="K13" s="160">
        <f t="shared" si="24"/>
        <v>94.285714285714292</v>
      </c>
      <c r="L13" s="160">
        <f t="shared" si="24"/>
        <v>94.285714285714292</v>
      </c>
      <c r="M13" s="160">
        <f t="shared" si="24"/>
        <v>92.857142857142861</v>
      </c>
      <c r="N13" s="160">
        <f t="shared" si="24"/>
        <v>91.428571428571431</v>
      </c>
      <c r="O13" s="160">
        <f t="shared" si="24"/>
        <v>91.428571428571431</v>
      </c>
      <c r="P13" s="160">
        <f t="shared" si="24"/>
        <v>90</v>
      </c>
      <c r="Q13" s="160">
        <f t="shared" si="24"/>
        <v>88.571428571428584</v>
      </c>
      <c r="R13" s="160">
        <f t="shared" si="24"/>
        <v>87.142857142857153</v>
      </c>
      <c r="S13" s="160">
        <f t="shared" si="24"/>
        <v>85.714285714285722</v>
      </c>
      <c r="T13" s="160">
        <f t="shared" si="24"/>
        <v>84.285714285714292</v>
      </c>
      <c r="U13" s="160">
        <f t="shared" si="24"/>
        <v>82.857142857142861</v>
      </c>
      <c r="V13" s="160">
        <f t="shared" si="24"/>
        <v>81.428571428571431</v>
      </c>
      <c r="W13" s="160">
        <f t="shared" si="24"/>
        <v>80</v>
      </c>
      <c r="X13" s="160">
        <f t="shared" si="24"/>
        <v>78.571428571428569</v>
      </c>
      <c r="Y13" s="160">
        <f t="shared" si="24"/>
        <v>77.142857142857153</v>
      </c>
      <c r="Z13" s="160">
        <f t="shared" si="24"/>
        <v>74.285714285714292</v>
      </c>
      <c r="AA13" s="160">
        <f t="shared" si="24"/>
        <v>72.857142857142861</v>
      </c>
      <c r="AC13" s="126" t="s">
        <v>119</v>
      </c>
      <c r="AD13" s="126">
        <v>1</v>
      </c>
      <c r="AE13" t="s">
        <v>8</v>
      </c>
    </row>
    <row r="14" spans="1:31" ht="14.25" customHeight="1" x14ac:dyDescent="0.15">
      <c r="A14" s="239"/>
      <c r="B14" s="159" t="s">
        <v>120</v>
      </c>
      <c r="C14" s="160">
        <f>ROUND((C8*AD4/1000000*AD5/100*AD12/100)/(AD13/100),0)</f>
        <v>26</v>
      </c>
      <c r="D14" s="160">
        <f>ROUND((D8*AD4/1000000*AD5/100*AD12/100)/(AD13/100),0)</f>
        <v>26</v>
      </c>
      <c r="E14" s="160">
        <f>ROUND((E8*AD4/1000000*AD5/100*AD12/100)/(AD13/100),0)</f>
        <v>26</v>
      </c>
      <c r="F14" s="160">
        <f>ROUND((F8*AD4/1000000*AD5/100*AD12/100)/(AD13/100),0)</f>
        <v>26</v>
      </c>
      <c r="G14" s="160">
        <f>ROUND((G8*AD4/1000000*AD5/100*AD12/100)/(AD13/100),0)</f>
        <v>26</v>
      </c>
      <c r="H14" s="160">
        <f>ROUND((H8*AD4/1000000*AD5/100*AD12/100)/(AD13/100),0)</f>
        <v>25</v>
      </c>
      <c r="I14" s="160">
        <f>ROUND((I8*AD4/1000000*AD5/100*AD12/100)/(AD13/100),0)</f>
        <v>25</v>
      </c>
      <c r="J14" s="160">
        <f>ROUND((J8*AD4/1000000*AD5/100*AD12/100)/(AD13/100),0)</f>
        <v>25</v>
      </c>
      <c r="K14" s="160">
        <f>ROUND((K8*AD4/1000000*AD5/100*AD12/100)/(AD13/100),0)</f>
        <v>25</v>
      </c>
      <c r="L14" s="160">
        <f>ROUND((L8*AD4/1000000*AD5/100*AD12/100)/(AD13/100),0)</f>
        <v>25</v>
      </c>
      <c r="M14" s="160">
        <f>ROUND((M8*AD4/1000000*AD5/100*AD12/100)/(AD13/100),0)</f>
        <v>24</v>
      </c>
      <c r="N14" s="160">
        <f>ROUND((N8*AD4/1000000*AD5/100*AD12/100)/(AD13/100),0)</f>
        <v>24</v>
      </c>
      <c r="O14" s="160">
        <f>ROUND((O8*AD4/1000000*AD5/100*AD12/100)/(AD13/100),0)</f>
        <v>24</v>
      </c>
      <c r="P14" s="160">
        <f>ROUND((P8*AD4/1000000*AD5/100*AD12/100)/(AD13/100),0)</f>
        <v>24</v>
      </c>
      <c r="Q14" s="160">
        <f>ROUND((Q8*AD4/1000000*AD5/100*AD12/100)/(AD13/100),0)</f>
        <v>23</v>
      </c>
      <c r="R14" s="160">
        <f>ROUND((R8*AD4/1000000*AD5/100*AD12/100)/(AD13/100),0)</f>
        <v>23</v>
      </c>
      <c r="S14" s="160">
        <f>ROUND((S8*AD4/1000000*AD5/100*AD12/100)/(AD13/100),0)</f>
        <v>23</v>
      </c>
      <c r="T14" s="160">
        <f>ROUND((T8*AD4/1000000*AD5/100*AD12/100)/(AD13/100),0)</f>
        <v>22</v>
      </c>
      <c r="U14" s="160">
        <f>ROUND((U8*AD4/1000000*AD5/100*AD12/100)/(AD13/100),0)</f>
        <v>22</v>
      </c>
      <c r="V14" s="160">
        <f>ROUND((V8*AD4/1000000*AD5/100*AD12/100)/(AD13/100),0)</f>
        <v>21</v>
      </c>
      <c r="W14" s="160">
        <f>ROUND((W8*AD4/1000000*AD5/100*AD12/100)/(AD13/100),0)</f>
        <v>21</v>
      </c>
      <c r="X14" s="160">
        <f>ROUND((X8*AD4/1000000*AD5/100*AD12/100)/(AD13/100),0)</f>
        <v>21</v>
      </c>
      <c r="Y14" s="160">
        <f>ROUND((Y8*AD4/1000000*AD5/100*AD12/100)/(AD13/100),0)</f>
        <v>20</v>
      </c>
      <c r="Z14" s="160">
        <f>ROUND((Z8*AD4/1000000*AD5/100*AD12/100)/(AD13/100),0)</f>
        <v>20</v>
      </c>
      <c r="AA14" s="160">
        <f>ROUND((AA8*AD4/1000000*AD5/100*AD12/100)/(AD13/100),0)</f>
        <v>19</v>
      </c>
      <c r="AC14" s="126"/>
      <c r="AD14" s="126">
        <v>0.75</v>
      </c>
      <c r="AE14" t="s">
        <v>8</v>
      </c>
    </row>
    <row r="15" spans="1:31" ht="14.25" customHeight="1" x14ac:dyDescent="0.15">
      <c r="A15" s="240"/>
      <c r="B15" s="159" t="s">
        <v>121</v>
      </c>
      <c r="C15" s="160">
        <f>+C14/0.7</f>
        <v>37.142857142857146</v>
      </c>
      <c r="D15" s="160">
        <f t="shared" ref="D15:AA15" si="25">+D14/0.7</f>
        <v>37.142857142857146</v>
      </c>
      <c r="E15" s="160">
        <f t="shared" si="25"/>
        <v>37.142857142857146</v>
      </c>
      <c r="F15" s="160">
        <f t="shared" si="25"/>
        <v>37.142857142857146</v>
      </c>
      <c r="G15" s="160">
        <f t="shared" si="25"/>
        <v>37.142857142857146</v>
      </c>
      <c r="H15" s="160">
        <f t="shared" si="25"/>
        <v>35.714285714285715</v>
      </c>
      <c r="I15" s="160">
        <f t="shared" si="25"/>
        <v>35.714285714285715</v>
      </c>
      <c r="J15" s="160">
        <f t="shared" si="25"/>
        <v>35.714285714285715</v>
      </c>
      <c r="K15" s="160">
        <f t="shared" si="25"/>
        <v>35.714285714285715</v>
      </c>
      <c r="L15" s="160">
        <f t="shared" si="25"/>
        <v>35.714285714285715</v>
      </c>
      <c r="M15" s="160">
        <f t="shared" si="25"/>
        <v>34.285714285714285</v>
      </c>
      <c r="N15" s="160">
        <f t="shared" si="25"/>
        <v>34.285714285714285</v>
      </c>
      <c r="O15" s="160">
        <f t="shared" si="25"/>
        <v>34.285714285714285</v>
      </c>
      <c r="P15" s="160">
        <f t="shared" si="25"/>
        <v>34.285714285714285</v>
      </c>
      <c r="Q15" s="160">
        <f t="shared" si="25"/>
        <v>32.857142857142861</v>
      </c>
      <c r="R15" s="160">
        <f t="shared" si="25"/>
        <v>32.857142857142861</v>
      </c>
      <c r="S15" s="160">
        <f t="shared" si="25"/>
        <v>32.857142857142861</v>
      </c>
      <c r="T15" s="160">
        <f t="shared" si="25"/>
        <v>31.428571428571431</v>
      </c>
      <c r="U15" s="160">
        <f t="shared" si="25"/>
        <v>31.428571428571431</v>
      </c>
      <c r="V15" s="160">
        <f t="shared" si="25"/>
        <v>30.000000000000004</v>
      </c>
      <c r="W15" s="160">
        <f t="shared" si="25"/>
        <v>30.000000000000004</v>
      </c>
      <c r="X15" s="160">
        <f t="shared" si="25"/>
        <v>30.000000000000004</v>
      </c>
      <c r="Y15" s="160">
        <f t="shared" si="25"/>
        <v>28.571428571428573</v>
      </c>
      <c r="Z15" s="160">
        <f t="shared" si="25"/>
        <v>28.571428571428573</v>
      </c>
      <c r="AA15" s="160">
        <f t="shared" si="25"/>
        <v>27.142857142857146</v>
      </c>
    </row>
  </sheetData>
  <mergeCells count="6">
    <mergeCell ref="A12:A15"/>
    <mergeCell ref="A2:B2"/>
    <mergeCell ref="A3:B3"/>
    <mergeCell ref="A4:A5"/>
    <mergeCell ref="A6:A9"/>
    <mergeCell ref="A10:A11"/>
  </mergeCells>
  <phoneticPr fontId="30"/>
  <pageMargins left="0.69930555555555596" right="0.69930555555555596" top="0.75" bottom="0.75" header="0.3" footer="0.3"/>
  <ignoredErrors>
    <ignoredError sqref="C8:AA8 C14:AA14" formula="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I220"/>
  <sheetViews>
    <sheetView showGridLines="0" view="pageBreakPreview" topLeftCell="A154" zoomScale="70" zoomScaleNormal="55" zoomScaleSheetLayoutView="70" workbookViewId="0">
      <selection activeCell="B226" sqref="B226"/>
    </sheetView>
  </sheetViews>
  <sheetFormatPr defaultColWidth="9" defaultRowHeight="13.5" outlineLevelRow="1" outlineLevelCol="1" x14ac:dyDescent="0.15"/>
  <cols>
    <col min="1" max="1" width="12.375" customWidth="1"/>
    <col min="2" max="2" width="22.25" customWidth="1"/>
    <col min="3" max="3" width="16.5" customWidth="1"/>
    <col min="4" max="4" width="10.375" customWidth="1"/>
    <col min="5" max="5" width="6.625" customWidth="1"/>
    <col min="6" max="6" width="8" customWidth="1"/>
    <col min="7" max="8" width="6.625" customWidth="1"/>
    <col min="9" max="13" width="6.625" customWidth="1" outlineLevel="1"/>
    <col min="14" max="29" width="6.625" customWidth="1"/>
    <col min="30" max="30" width="8.375" customWidth="1"/>
    <col min="31" max="32" width="5.875" customWidth="1"/>
    <col min="33" max="33" width="7.75" customWidth="1"/>
    <col min="34" max="34" width="9.125" customWidth="1"/>
  </cols>
  <sheetData>
    <row r="3" spans="1:30" ht="25.5" customHeight="1" x14ac:dyDescent="0.15">
      <c r="A3" s="220" t="s">
        <v>82</v>
      </c>
      <c r="B3" s="220" t="s">
        <v>83</v>
      </c>
      <c r="C3" s="226" t="s">
        <v>129</v>
      </c>
      <c r="D3" s="226" t="s">
        <v>130</v>
      </c>
      <c r="E3" s="226" t="s">
        <v>131</v>
      </c>
      <c r="F3" s="226" t="s">
        <v>132</v>
      </c>
      <c r="G3" s="226" t="s">
        <v>84</v>
      </c>
      <c r="H3" s="226"/>
      <c r="I3" s="226"/>
      <c r="J3" s="226" t="s">
        <v>133</v>
      </c>
      <c r="K3" s="226"/>
      <c r="L3" s="294" t="s">
        <v>134</v>
      </c>
      <c r="M3" s="294" t="s">
        <v>135</v>
      </c>
      <c r="N3" s="294" t="s">
        <v>136</v>
      </c>
      <c r="O3" s="294" t="s">
        <v>137</v>
      </c>
      <c r="P3" s="220" t="s">
        <v>138</v>
      </c>
      <c r="Q3" s="220"/>
      <c r="R3" s="43" t="s">
        <v>139</v>
      </c>
      <c r="S3" s="43" t="s">
        <v>139</v>
      </c>
      <c r="T3" s="226" t="s">
        <v>140</v>
      </c>
      <c r="U3" s="302" t="s">
        <v>141</v>
      </c>
      <c r="V3" s="226" t="s">
        <v>142</v>
      </c>
      <c r="W3" s="226"/>
      <c r="X3" s="226" t="s">
        <v>143</v>
      </c>
      <c r="Y3" s="226"/>
      <c r="Z3" s="226" t="s">
        <v>144</v>
      </c>
      <c r="AA3" s="226"/>
    </row>
    <row r="4" spans="1:30" ht="25.5" customHeight="1" x14ac:dyDescent="0.15">
      <c r="A4" s="220"/>
      <c r="B4" s="220"/>
      <c r="C4" s="220"/>
      <c r="D4" s="268"/>
      <c r="E4" s="220"/>
      <c r="F4" s="220"/>
      <c r="G4" s="6" t="s">
        <v>145</v>
      </c>
      <c r="H4" s="6" t="s">
        <v>146</v>
      </c>
      <c r="I4" s="4" t="s">
        <v>147</v>
      </c>
      <c r="J4" s="6" t="s">
        <v>148</v>
      </c>
      <c r="K4" s="11" t="s">
        <v>149</v>
      </c>
      <c r="L4" s="294"/>
      <c r="M4" s="294"/>
      <c r="N4" s="294"/>
      <c r="O4" s="294"/>
      <c r="P4" s="6" t="s">
        <v>148</v>
      </c>
      <c r="Q4" s="11" t="s">
        <v>149</v>
      </c>
      <c r="R4" s="108" t="s">
        <v>150</v>
      </c>
      <c r="S4" s="44" t="s">
        <v>151</v>
      </c>
      <c r="T4" s="220"/>
      <c r="U4" s="303"/>
      <c r="V4" s="6" t="s">
        <v>148</v>
      </c>
      <c r="W4" s="11" t="s">
        <v>149</v>
      </c>
      <c r="X4" s="6" t="s">
        <v>148</v>
      </c>
      <c r="Y4" s="11" t="s">
        <v>149</v>
      </c>
      <c r="Z4" s="6" t="s">
        <v>148</v>
      </c>
      <c r="AA4" s="11" t="s">
        <v>149</v>
      </c>
    </row>
    <row r="5" spans="1:30" x14ac:dyDescent="0.15">
      <c r="A5" s="12" t="s">
        <v>91</v>
      </c>
      <c r="B5" s="12" t="s">
        <v>92</v>
      </c>
      <c r="C5" s="16">
        <f>維持管理費等!D12</f>
        <v>75</v>
      </c>
      <c r="D5" s="16">
        <f>ROUND(1000*(2468*P11^0.382)/(P13*365),0)</f>
        <v>48</v>
      </c>
      <c r="E5" s="16">
        <v>1589</v>
      </c>
      <c r="F5" s="16">
        <f>ROUND(1000*(2468*P11^0.382)*0.51/(P123*365),0)</f>
        <v>1052</v>
      </c>
      <c r="G5" s="17">
        <f>処理能力と稼働率!D7</f>
        <v>9000</v>
      </c>
      <c r="H5" s="17">
        <f>ROUNDUP(P13/0.7*2,-3)/2</f>
        <v>5500</v>
      </c>
      <c r="I5" s="17">
        <f>ROUNDUP((将来フレーム!N7+将来フレーム!N9)*2,-3)/2</f>
        <v>8500</v>
      </c>
      <c r="J5" s="17">
        <v>72734</v>
      </c>
      <c r="K5" s="4">
        <v>0.26</v>
      </c>
      <c r="L5" s="95">
        <v>9.1999999999999993</v>
      </c>
      <c r="M5" s="96">
        <v>0.22</v>
      </c>
      <c r="N5" s="97">
        <v>6.3E-2</v>
      </c>
      <c r="O5" s="98">
        <v>60</v>
      </c>
      <c r="P5" s="22">
        <v>63.405999999999999</v>
      </c>
      <c r="Q5" s="22">
        <v>-0.97699999999999998</v>
      </c>
      <c r="R5" s="4">
        <f>$P$5*(E15*100)^$Q$5</f>
        <v>1.5342472491364942</v>
      </c>
      <c r="S5" s="4">
        <f>$P$5*(P15*100)^$Q$5</f>
        <v>1.0215541009517286</v>
      </c>
      <c r="T5" s="22">
        <v>0.51</v>
      </c>
      <c r="U5" s="45">
        <v>0.49</v>
      </c>
      <c r="V5" s="46">
        <v>978</v>
      </c>
      <c r="W5" s="21">
        <v>0.59</v>
      </c>
      <c r="X5" s="23">
        <v>112140</v>
      </c>
      <c r="Y5" s="21">
        <v>0.26</v>
      </c>
      <c r="Z5" s="23">
        <v>125019</v>
      </c>
      <c r="AA5" s="21">
        <v>0.04</v>
      </c>
    </row>
    <row r="6" spans="1:30" x14ac:dyDescent="0.15">
      <c r="A6" s="6" t="s">
        <v>93</v>
      </c>
      <c r="B6" s="6" t="s">
        <v>94</v>
      </c>
      <c r="C6" s="17">
        <f>維持管理費等!D14</f>
        <v>85</v>
      </c>
      <c r="D6" s="17">
        <f>ROUND(1000*(28600*(J12/1000)^0.58*(103.3/101.5))/(J14*365),0)</f>
        <v>76</v>
      </c>
      <c r="E6" s="16"/>
      <c r="F6" s="16"/>
      <c r="G6" s="17">
        <f>処理能力と稼働率!D8</f>
        <v>4700</v>
      </c>
      <c r="H6" s="17">
        <f>ROUNDUP(J14/0.7*2,-3)/2</f>
        <v>3000</v>
      </c>
      <c r="I6" s="17"/>
      <c r="J6" s="99">
        <v>1380000</v>
      </c>
      <c r="K6" s="4">
        <v>0.42</v>
      </c>
      <c r="L6" s="100">
        <v>10</v>
      </c>
      <c r="M6" s="100">
        <f>+L6</f>
        <v>10</v>
      </c>
      <c r="N6" s="100">
        <v>5000</v>
      </c>
      <c r="O6" s="100">
        <f>+N6</f>
        <v>5000</v>
      </c>
      <c r="P6" s="22">
        <v>65.846000000000004</v>
      </c>
      <c r="Q6" s="22">
        <v>-0.98599999999999999</v>
      </c>
      <c r="R6" s="4">
        <f>$P$6*(E16*100)^$Q$6</f>
        <v>1.6070403904153663</v>
      </c>
      <c r="S6" s="4">
        <f>$P$6*(J16*100)^$Q$6</f>
        <v>1.0564989435305148</v>
      </c>
      <c r="T6" s="5">
        <v>0.51</v>
      </c>
      <c r="U6" s="45">
        <v>0.49</v>
      </c>
      <c r="V6" s="17">
        <v>1580</v>
      </c>
      <c r="W6" s="21">
        <v>0.66</v>
      </c>
      <c r="X6" s="23">
        <v>112140</v>
      </c>
      <c r="Y6" s="21">
        <v>0.26</v>
      </c>
      <c r="Z6" s="23">
        <v>125019</v>
      </c>
      <c r="AA6" s="21">
        <v>0.04</v>
      </c>
    </row>
    <row r="8" spans="1:30" s="14" customFormat="1" ht="18.75" x14ac:dyDescent="0.15">
      <c r="F8" s="15" t="s">
        <v>152</v>
      </c>
    </row>
    <row r="10" spans="1:30" ht="15.95" customHeight="1" x14ac:dyDescent="0.15">
      <c r="B10" s="6" t="s">
        <v>43</v>
      </c>
      <c r="C10" s="6" t="s">
        <v>2</v>
      </c>
      <c r="D10" s="6" t="s">
        <v>127</v>
      </c>
      <c r="E10" s="24">
        <v>1</v>
      </c>
      <c r="F10" s="24">
        <v>2</v>
      </c>
      <c r="G10" s="24">
        <v>3</v>
      </c>
      <c r="H10" s="24">
        <v>4</v>
      </c>
      <c r="I10" s="24">
        <v>5</v>
      </c>
      <c r="J10" s="24">
        <v>6</v>
      </c>
      <c r="K10" s="24">
        <v>7</v>
      </c>
      <c r="L10" s="24">
        <v>8</v>
      </c>
      <c r="M10" s="24">
        <v>9</v>
      </c>
      <c r="N10" s="24">
        <v>10</v>
      </c>
      <c r="O10" s="24">
        <v>11</v>
      </c>
      <c r="P10" s="24">
        <v>12</v>
      </c>
      <c r="Q10" s="24">
        <v>13</v>
      </c>
      <c r="R10" s="24">
        <v>14</v>
      </c>
      <c r="S10" s="24">
        <v>15</v>
      </c>
      <c r="T10" s="24">
        <v>16</v>
      </c>
      <c r="U10" s="24">
        <v>17</v>
      </c>
      <c r="V10" s="24">
        <v>18</v>
      </c>
      <c r="W10" s="24">
        <v>19</v>
      </c>
      <c r="X10" s="24">
        <v>20</v>
      </c>
      <c r="Y10" s="24">
        <v>21</v>
      </c>
      <c r="Z10" s="24">
        <v>22</v>
      </c>
      <c r="AA10" s="24">
        <v>23</v>
      </c>
      <c r="AB10" s="24">
        <v>24</v>
      </c>
      <c r="AC10" s="24">
        <v>25</v>
      </c>
      <c r="AD10" s="6" t="s">
        <v>126</v>
      </c>
    </row>
    <row r="11" spans="1:30" ht="15.95" customHeight="1" x14ac:dyDescent="0.15">
      <c r="B11" s="252" t="s">
        <v>153</v>
      </c>
      <c r="C11" s="220" t="s">
        <v>128</v>
      </c>
      <c r="D11" s="6" t="s">
        <v>91</v>
      </c>
      <c r="E11" s="101">
        <f t="shared" ref="E11:O11" si="0">$G$5</f>
        <v>9000</v>
      </c>
      <c r="F11" s="24">
        <f t="shared" si="0"/>
        <v>9000</v>
      </c>
      <c r="G11" s="24">
        <f t="shared" si="0"/>
        <v>9000</v>
      </c>
      <c r="H11" s="24">
        <f t="shared" si="0"/>
        <v>9000</v>
      </c>
      <c r="I11" s="24">
        <f t="shared" si="0"/>
        <v>9000</v>
      </c>
      <c r="J11" s="24">
        <f t="shared" si="0"/>
        <v>9000</v>
      </c>
      <c r="K11" s="24">
        <f t="shared" si="0"/>
        <v>9000</v>
      </c>
      <c r="L11" s="24">
        <f t="shared" si="0"/>
        <v>9000</v>
      </c>
      <c r="M11" s="24">
        <f t="shared" si="0"/>
        <v>9000</v>
      </c>
      <c r="N11" s="24">
        <f t="shared" si="0"/>
        <v>9000</v>
      </c>
      <c r="O11" s="24">
        <f t="shared" si="0"/>
        <v>9000</v>
      </c>
      <c r="P11" s="102">
        <f t="shared" ref="P11:AC11" si="1">$H$5</f>
        <v>5500</v>
      </c>
      <c r="Q11" s="24">
        <f t="shared" si="1"/>
        <v>5500</v>
      </c>
      <c r="R11" s="24">
        <f t="shared" si="1"/>
        <v>5500</v>
      </c>
      <c r="S11" s="24">
        <f t="shared" si="1"/>
        <v>5500</v>
      </c>
      <c r="T11" s="24">
        <f t="shared" si="1"/>
        <v>5500</v>
      </c>
      <c r="U11" s="24">
        <f t="shared" si="1"/>
        <v>5500</v>
      </c>
      <c r="V11" s="24">
        <f t="shared" si="1"/>
        <v>5500</v>
      </c>
      <c r="W11" s="24">
        <f t="shared" si="1"/>
        <v>5500</v>
      </c>
      <c r="X11" s="24">
        <f t="shared" si="1"/>
        <v>5500</v>
      </c>
      <c r="Y11" s="24">
        <f t="shared" si="1"/>
        <v>5500</v>
      </c>
      <c r="Z11" s="24">
        <f t="shared" si="1"/>
        <v>5500</v>
      </c>
      <c r="AA11" s="24">
        <f t="shared" si="1"/>
        <v>5500</v>
      </c>
      <c r="AB11" s="24">
        <f t="shared" si="1"/>
        <v>5500</v>
      </c>
      <c r="AC11" s="24">
        <f t="shared" si="1"/>
        <v>5500</v>
      </c>
      <c r="AD11" s="6" t="s">
        <v>53</v>
      </c>
    </row>
    <row r="12" spans="1:30" ht="15.95" customHeight="1" x14ac:dyDescent="0.15">
      <c r="B12" s="252"/>
      <c r="C12" s="220"/>
      <c r="D12" s="6" t="s">
        <v>93</v>
      </c>
      <c r="E12" s="24">
        <f t="shared" ref="E12:I12" si="2">$G$6</f>
        <v>4700</v>
      </c>
      <c r="F12" s="24">
        <f t="shared" si="2"/>
        <v>4700</v>
      </c>
      <c r="G12" s="24">
        <f t="shared" si="2"/>
        <v>4700</v>
      </c>
      <c r="H12" s="24">
        <f t="shared" si="2"/>
        <v>4700</v>
      </c>
      <c r="I12" s="24">
        <f t="shared" si="2"/>
        <v>4700</v>
      </c>
      <c r="J12" s="102">
        <f t="shared" ref="J12:AC12" si="3">$H$6</f>
        <v>3000</v>
      </c>
      <c r="K12" s="24">
        <f t="shared" si="3"/>
        <v>3000</v>
      </c>
      <c r="L12" s="24">
        <f t="shared" si="3"/>
        <v>3000</v>
      </c>
      <c r="M12" s="24">
        <f t="shared" si="3"/>
        <v>3000</v>
      </c>
      <c r="N12" s="24">
        <f t="shared" si="3"/>
        <v>3000</v>
      </c>
      <c r="O12" s="24">
        <f t="shared" si="3"/>
        <v>3000</v>
      </c>
      <c r="P12" s="24">
        <f t="shared" si="3"/>
        <v>3000</v>
      </c>
      <c r="Q12" s="24">
        <f t="shared" si="3"/>
        <v>3000</v>
      </c>
      <c r="R12" s="24">
        <f t="shared" si="3"/>
        <v>3000</v>
      </c>
      <c r="S12" s="24">
        <f t="shared" si="3"/>
        <v>3000</v>
      </c>
      <c r="T12" s="24">
        <f t="shared" si="3"/>
        <v>3000</v>
      </c>
      <c r="U12" s="24">
        <f t="shared" si="3"/>
        <v>3000</v>
      </c>
      <c r="V12" s="24">
        <f t="shared" si="3"/>
        <v>3000</v>
      </c>
      <c r="W12" s="24">
        <f t="shared" si="3"/>
        <v>3000</v>
      </c>
      <c r="X12" s="24">
        <f t="shared" si="3"/>
        <v>3000</v>
      </c>
      <c r="Y12" s="24">
        <f t="shared" si="3"/>
        <v>3000</v>
      </c>
      <c r="Z12" s="24">
        <f t="shared" si="3"/>
        <v>3000</v>
      </c>
      <c r="AA12" s="24">
        <f t="shared" si="3"/>
        <v>3000</v>
      </c>
      <c r="AB12" s="24">
        <f t="shared" si="3"/>
        <v>3000</v>
      </c>
      <c r="AC12" s="24">
        <f t="shared" si="3"/>
        <v>3000</v>
      </c>
      <c r="AD12" s="6" t="s">
        <v>53</v>
      </c>
    </row>
    <row r="13" spans="1:30" ht="15.95" customHeight="1" x14ac:dyDescent="0.15">
      <c r="B13" s="252" t="s">
        <v>154</v>
      </c>
      <c r="C13" s="220" t="s">
        <v>128</v>
      </c>
      <c r="D13" s="6" t="s">
        <v>91</v>
      </c>
      <c r="E13" s="25">
        <f>流入水量!D7</f>
        <v>4060</v>
      </c>
      <c r="F13" s="25">
        <f>流入水量!E7</f>
        <v>4046.37</v>
      </c>
      <c r="G13" s="25">
        <f>流入水量!F7</f>
        <v>4030.13</v>
      </c>
      <c r="H13" s="25">
        <f>流入水量!G7</f>
        <v>4011.28</v>
      </c>
      <c r="I13" s="25">
        <f>流入水量!H7</f>
        <v>3989.53</v>
      </c>
      <c r="J13" s="25">
        <f>流入水量!I7</f>
        <v>3965.17</v>
      </c>
      <c r="K13" s="25">
        <f>流入水量!J7</f>
        <v>3938.2</v>
      </c>
      <c r="L13" s="25">
        <f>流入水量!K7</f>
        <v>3908.33</v>
      </c>
      <c r="M13" s="25">
        <f>流入水量!L7</f>
        <v>3875.85</v>
      </c>
      <c r="N13" s="25">
        <f>流入水量!M7</f>
        <v>3840.76</v>
      </c>
      <c r="O13" s="25">
        <f>流入水量!N7</f>
        <v>3802.77</v>
      </c>
      <c r="P13" s="25">
        <f>流入水量!O7</f>
        <v>3762.17</v>
      </c>
      <c r="Q13" s="25">
        <f>流入水量!P7</f>
        <v>3718.96</v>
      </c>
      <c r="R13" s="25">
        <f>流入水量!Q7</f>
        <v>3672.85</v>
      </c>
      <c r="S13" s="25">
        <f>流入水量!R7</f>
        <v>3624.13</v>
      </c>
      <c r="T13" s="25">
        <f>流入水量!S7</f>
        <v>3572.8</v>
      </c>
      <c r="U13" s="25">
        <f>流入水量!T7</f>
        <v>3518.57</v>
      </c>
      <c r="V13" s="25">
        <f>流入水量!U7</f>
        <v>3461.73</v>
      </c>
      <c r="W13" s="25">
        <f>流入水量!V7</f>
        <v>3402.28</v>
      </c>
      <c r="X13" s="25">
        <f>流入水量!W7</f>
        <v>3339.93</v>
      </c>
      <c r="Y13" s="25">
        <f>流入水量!X7</f>
        <v>3274.97</v>
      </c>
      <c r="Z13" s="25">
        <f>流入水量!Y7</f>
        <v>3207.4</v>
      </c>
      <c r="AA13" s="25">
        <f>流入水量!Z7</f>
        <v>3136.93</v>
      </c>
      <c r="AB13" s="25">
        <f>流入水量!AA7</f>
        <v>3063.85</v>
      </c>
      <c r="AC13" s="25">
        <f>流入水量!AB7</f>
        <v>2988.16</v>
      </c>
      <c r="AD13" s="6" t="s">
        <v>53</v>
      </c>
    </row>
    <row r="14" spans="1:30" ht="15.95" customHeight="1" x14ac:dyDescent="0.15">
      <c r="B14" s="252"/>
      <c r="C14" s="220"/>
      <c r="D14" s="6" t="s">
        <v>93</v>
      </c>
      <c r="E14" s="25">
        <f>流入水量!D8</f>
        <v>2030</v>
      </c>
      <c r="F14" s="25">
        <f>流入水量!E8</f>
        <v>2023.33</v>
      </c>
      <c r="G14" s="25">
        <f>流入水量!F8</f>
        <v>2015.21</v>
      </c>
      <c r="H14" s="25">
        <f>流入水量!G8</f>
        <v>2005.64</v>
      </c>
      <c r="I14" s="25">
        <f>流入水量!H8</f>
        <v>1994.91</v>
      </c>
      <c r="J14" s="25">
        <f>流入水量!I8</f>
        <v>1982.73</v>
      </c>
      <c r="K14" s="25">
        <f>流入水量!J8</f>
        <v>1969.1</v>
      </c>
      <c r="L14" s="25">
        <f>流入水量!K8</f>
        <v>1954.31</v>
      </c>
      <c r="M14" s="25">
        <f>流入水量!L8</f>
        <v>1938.07</v>
      </c>
      <c r="N14" s="25">
        <f>流入水量!M8</f>
        <v>1920.38</v>
      </c>
      <c r="O14" s="25">
        <f>流入水量!N8</f>
        <v>1901.53</v>
      </c>
      <c r="P14" s="25">
        <f>流入水量!O8</f>
        <v>1881.23</v>
      </c>
      <c r="Q14" s="25">
        <f>流入水量!P8</f>
        <v>1859.48</v>
      </c>
      <c r="R14" s="25">
        <f>流入水量!Q8</f>
        <v>1836.57</v>
      </c>
      <c r="S14" s="25">
        <f>流入水量!R8</f>
        <v>1812.21</v>
      </c>
      <c r="T14" s="25">
        <f>流入水量!S8</f>
        <v>1786.4</v>
      </c>
      <c r="U14" s="25">
        <f>流入水量!T8</f>
        <v>1759.43</v>
      </c>
      <c r="V14" s="25">
        <f>流入水量!U8</f>
        <v>1731.01</v>
      </c>
      <c r="W14" s="25">
        <f>流入水量!V8</f>
        <v>1701.14</v>
      </c>
      <c r="X14" s="25">
        <f>流入水量!W8</f>
        <v>1670.11</v>
      </c>
      <c r="Y14" s="25">
        <f>流入水量!X8</f>
        <v>1637.63</v>
      </c>
      <c r="Z14" s="25">
        <f>流入水量!Y8</f>
        <v>1603.7</v>
      </c>
      <c r="AA14" s="25">
        <f>流入水量!Z8</f>
        <v>1568.61</v>
      </c>
      <c r="AB14" s="25">
        <f>流入水量!AA8</f>
        <v>1532.07</v>
      </c>
      <c r="AC14" s="25">
        <f>流入水量!AB8</f>
        <v>1494.08</v>
      </c>
      <c r="AD14" s="6" t="s">
        <v>53</v>
      </c>
    </row>
    <row r="15" spans="1:30" ht="15.95" customHeight="1" x14ac:dyDescent="0.15">
      <c r="B15" s="252" t="s">
        <v>155</v>
      </c>
      <c r="C15" s="220" t="s">
        <v>8</v>
      </c>
      <c r="D15" s="6" t="s">
        <v>91</v>
      </c>
      <c r="E15" s="26">
        <f>E13/E11</f>
        <v>0.45111111111111113</v>
      </c>
      <c r="F15" s="26">
        <f>F13/F11</f>
        <v>0.44959666666666664</v>
      </c>
      <c r="G15" s="26">
        <f t="shared" ref="F15:AC16" si="4">G13/G11</f>
        <v>0.44779222222222226</v>
      </c>
      <c r="H15" s="26">
        <f t="shared" si="4"/>
        <v>0.4456977777777778</v>
      </c>
      <c r="I15" s="26">
        <f t="shared" si="4"/>
        <v>0.44328111111111113</v>
      </c>
      <c r="J15" s="26">
        <f t="shared" si="4"/>
        <v>0.44057444444444444</v>
      </c>
      <c r="K15" s="26">
        <f t="shared" si="4"/>
        <v>0.43757777777777773</v>
      </c>
      <c r="L15" s="26">
        <f t="shared" si="4"/>
        <v>0.43425888888888886</v>
      </c>
      <c r="M15" s="26">
        <f t="shared" si="4"/>
        <v>0.43064999999999998</v>
      </c>
      <c r="N15" s="26">
        <f t="shared" si="4"/>
        <v>0.42675111111111114</v>
      </c>
      <c r="O15" s="26">
        <f t="shared" si="4"/>
        <v>0.42253000000000002</v>
      </c>
      <c r="P15" s="26">
        <f>P13/P11</f>
        <v>0.68403090909090913</v>
      </c>
      <c r="Q15" s="26">
        <f t="shared" si="4"/>
        <v>0.67617454545454547</v>
      </c>
      <c r="R15" s="26">
        <f t="shared" si="4"/>
        <v>0.6677909090909091</v>
      </c>
      <c r="S15" s="26">
        <f t="shared" si="4"/>
        <v>0.65893272727272734</v>
      </c>
      <c r="T15" s="26">
        <f t="shared" si="4"/>
        <v>0.64960000000000007</v>
      </c>
      <c r="U15" s="26">
        <f t="shared" si="4"/>
        <v>0.63973999999999998</v>
      </c>
      <c r="V15" s="26">
        <f t="shared" si="4"/>
        <v>0.6294054545454546</v>
      </c>
      <c r="W15" s="26">
        <f t="shared" si="4"/>
        <v>0.61859636363636372</v>
      </c>
      <c r="X15" s="26">
        <f t="shared" si="4"/>
        <v>0.60726000000000002</v>
      </c>
      <c r="Y15" s="26">
        <f t="shared" si="4"/>
        <v>0.59544909090909093</v>
      </c>
      <c r="Z15" s="26">
        <f t="shared" si="4"/>
        <v>0.58316363636363633</v>
      </c>
      <c r="AA15" s="26">
        <f t="shared" si="4"/>
        <v>0.57035090909090902</v>
      </c>
      <c r="AB15" s="26">
        <f t="shared" si="4"/>
        <v>0.55706363636363632</v>
      </c>
      <c r="AC15" s="26">
        <f>AC13/AC11</f>
        <v>0.54330181818181811</v>
      </c>
      <c r="AD15" s="6" t="s">
        <v>53</v>
      </c>
    </row>
    <row r="16" spans="1:30" ht="15.95" customHeight="1" x14ac:dyDescent="0.15">
      <c r="B16" s="252"/>
      <c r="C16" s="220"/>
      <c r="D16" s="6" t="s">
        <v>93</v>
      </c>
      <c r="E16" s="26">
        <f>E14/E12</f>
        <v>0.43191489361702129</v>
      </c>
      <c r="F16" s="26">
        <f t="shared" si="4"/>
        <v>0.43049574468085106</v>
      </c>
      <c r="G16" s="26">
        <f t="shared" si="4"/>
        <v>0.42876808510638298</v>
      </c>
      <c r="H16" s="26">
        <f t="shared" si="4"/>
        <v>0.42673191489361706</v>
      </c>
      <c r="I16" s="26">
        <f t="shared" si="4"/>
        <v>0.42444893617021279</v>
      </c>
      <c r="J16" s="26">
        <f>J14/J12</f>
        <v>0.66091</v>
      </c>
      <c r="K16" s="26">
        <f>K14/K12</f>
        <v>0.65636666666666665</v>
      </c>
      <c r="L16" s="26">
        <f t="shared" si="4"/>
        <v>0.65143666666666666</v>
      </c>
      <c r="M16" s="26">
        <f t="shared" si="4"/>
        <v>0.64602333333333328</v>
      </c>
      <c r="N16" s="26">
        <f t="shared" si="4"/>
        <v>0.64012666666666673</v>
      </c>
      <c r="O16" s="26">
        <f t="shared" si="4"/>
        <v>0.63384333333333331</v>
      </c>
      <c r="P16" s="26">
        <f t="shared" si="4"/>
        <v>0.62707666666666673</v>
      </c>
      <c r="Q16" s="26">
        <f t="shared" si="4"/>
        <v>0.61982666666666664</v>
      </c>
      <c r="R16" s="26">
        <f t="shared" si="4"/>
        <v>0.61219000000000001</v>
      </c>
      <c r="S16" s="26">
        <f t="shared" si="4"/>
        <v>0.60407</v>
      </c>
      <c r="T16" s="26">
        <f t="shared" si="4"/>
        <v>0.5954666666666667</v>
      </c>
      <c r="U16" s="26">
        <f t="shared" si="4"/>
        <v>0.58647666666666665</v>
      </c>
      <c r="V16" s="26">
        <f t="shared" si="4"/>
        <v>0.57700333333333331</v>
      </c>
      <c r="W16" s="26">
        <f t="shared" si="4"/>
        <v>0.5670466666666667</v>
      </c>
      <c r="X16" s="26">
        <f t="shared" si="4"/>
        <v>0.55670333333333333</v>
      </c>
      <c r="Y16" s="26">
        <f t="shared" si="4"/>
        <v>0.54587666666666668</v>
      </c>
      <c r="Z16" s="26">
        <f t="shared" si="4"/>
        <v>0.53456666666666663</v>
      </c>
      <c r="AA16" s="26">
        <f t="shared" si="4"/>
        <v>0.52286999999999995</v>
      </c>
      <c r="AB16" s="26">
        <f t="shared" si="4"/>
        <v>0.51068999999999998</v>
      </c>
      <c r="AC16" s="26">
        <f t="shared" si="4"/>
        <v>0.49802666666666662</v>
      </c>
      <c r="AD16" s="6" t="s">
        <v>53</v>
      </c>
    </row>
    <row r="17" spans="1:32" ht="15.95" customHeight="1" x14ac:dyDescent="0.15">
      <c r="B17" s="253" t="s">
        <v>156</v>
      </c>
      <c r="C17" s="226" t="s">
        <v>53</v>
      </c>
      <c r="D17" s="6" t="s">
        <v>91</v>
      </c>
      <c r="E17" s="103">
        <v>1</v>
      </c>
      <c r="F17" s="103">
        <f t="shared" ref="F17:O17" si="5">$P$5*(F15*100)^$Q$5/$R$5</f>
        <v>1.0032908495138475</v>
      </c>
      <c r="G17" s="103">
        <f t="shared" si="5"/>
        <v>1.0072405874931165</v>
      </c>
      <c r="H17" s="103">
        <f t="shared" si="5"/>
        <v>1.0118647461317642</v>
      </c>
      <c r="I17" s="103">
        <f t="shared" si="5"/>
        <v>1.0172539842928507</v>
      </c>
      <c r="J17" s="103">
        <f t="shared" si="5"/>
        <v>1.0233593096889433</v>
      </c>
      <c r="K17" s="103">
        <f t="shared" si="5"/>
        <v>1.0302058593442842</v>
      </c>
      <c r="L17" s="103">
        <f t="shared" si="5"/>
        <v>1.0378975977002818</v>
      </c>
      <c r="M17" s="103">
        <f t="shared" si="5"/>
        <v>1.0463944172229152</v>
      </c>
      <c r="N17" s="103">
        <f t="shared" si="5"/>
        <v>1.0557336389261469</v>
      </c>
      <c r="O17" s="103">
        <f t="shared" si="5"/>
        <v>1.0660367511389208</v>
      </c>
      <c r="P17" s="104">
        <v>1</v>
      </c>
      <c r="Q17" s="103">
        <f t="shared" ref="Q17:AC17" si="6">$P$5*(Q15*100)^$Q$5/$S$5</f>
        <v>1.0113500955737715</v>
      </c>
      <c r="R17" s="103">
        <f t="shared" si="6"/>
        <v>1.0237530621984705</v>
      </c>
      <c r="S17" s="103">
        <f t="shared" si="6"/>
        <v>1.037196998600511</v>
      </c>
      <c r="T17" s="103">
        <f t="shared" si="6"/>
        <v>1.0517531633699417</v>
      </c>
      <c r="U17" s="103">
        <f t="shared" si="6"/>
        <v>1.0675876948663043</v>
      </c>
      <c r="V17" s="103">
        <f t="shared" si="6"/>
        <v>1.084710599695708</v>
      </c>
      <c r="W17" s="103">
        <f t="shared" si="6"/>
        <v>1.1032247374818855</v>
      </c>
      <c r="X17" s="103">
        <f t="shared" si="6"/>
        <v>1.1233418196973615</v>
      </c>
      <c r="Y17" s="103">
        <f t="shared" si="6"/>
        <v>1.1451062231587013</v>
      </c>
      <c r="Z17" s="103">
        <f t="shared" si="6"/>
        <v>1.168669552410184</v>
      </c>
      <c r="AA17" s="103">
        <f t="shared" si="6"/>
        <v>1.1943128797085893</v>
      </c>
      <c r="AB17" s="103">
        <f t="shared" si="6"/>
        <v>1.2221372620524902</v>
      </c>
      <c r="AC17" s="103">
        <f t="shared" si="6"/>
        <v>1.2523732218909704</v>
      </c>
      <c r="AD17" s="6" t="s">
        <v>53</v>
      </c>
    </row>
    <row r="18" spans="1:32" ht="15.95" customHeight="1" x14ac:dyDescent="0.15">
      <c r="B18" s="252"/>
      <c r="C18" s="226"/>
      <c r="D18" s="6" t="s">
        <v>93</v>
      </c>
      <c r="E18" s="103">
        <v>1</v>
      </c>
      <c r="F18" s="103">
        <f t="shared" ref="F18:H18" si="7">$P$6*(F16*100)^$Q$6/$R$6</f>
        <v>1.0032503192301374</v>
      </c>
      <c r="G18" s="103">
        <f t="shared" si="7"/>
        <v>1.0072360660493553</v>
      </c>
      <c r="H18" s="103">
        <f t="shared" si="7"/>
        <v>1.0119746944788901</v>
      </c>
      <c r="I18" s="103">
        <f>$P$6*(I16*100)^$Q$6/$R$6</f>
        <v>1.0173413863379952</v>
      </c>
      <c r="J18" s="104">
        <v>1</v>
      </c>
      <c r="K18" s="103">
        <f>$P$6*(K16*100)^$Q$6/$S$6</f>
        <v>1.0068247068922114</v>
      </c>
      <c r="L18" s="103">
        <f>$P$6*(L16*100)^$Q$6/$S$6</f>
        <v>1.0143371734233182</v>
      </c>
      <c r="M18" s="103">
        <f t="shared" ref="M18:AC18" si="8">$P$6*(M16*100)^$Q$6/$S$6</f>
        <v>1.0227172969356122</v>
      </c>
      <c r="N18" s="103">
        <f t="shared" si="8"/>
        <v>1.0320057898973785</v>
      </c>
      <c r="O18" s="103">
        <f t="shared" si="8"/>
        <v>1.0420922130690098</v>
      </c>
      <c r="P18" s="103">
        <f t="shared" si="8"/>
        <v>1.0531789698648777</v>
      </c>
      <c r="Q18" s="103">
        <f t="shared" si="8"/>
        <v>1.0653243586727232</v>
      </c>
      <c r="R18" s="103">
        <f t="shared" si="8"/>
        <v>1.078426389290553</v>
      </c>
      <c r="S18" s="103">
        <f t="shared" si="8"/>
        <v>1.092718471329964</v>
      </c>
      <c r="T18" s="103">
        <f t="shared" si="8"/>
        <v>1.1082835307038499</v>
      </c>
      <c r="U18" s="103">
        <f t="shared" si="8"/>
        <v>1.1250325886344492</v>
      </c>
      <c r="V18" s="103">
        <f t="shared" si="8"/>
        <v>1.1432428791439975</v>
      </c>
      <c r="W18" s="103">
        <f t="shared" si="8"/>
        <v>1.1630334133334419</v>
      </c>
      <c r="X18" s="103">
        <f t="shared" si="8"/>
        <v>1.1843368500631841</v>
      </c>
      <c r="Y18" s="103">
        <f t="shared" si="8"/>
        <v>1.207494393809063</v>
      </c>
      <c r="Z18" s="103">
        <f t="shared" si="8"/>
        <v>1.232680376428323</v>
      </c>
      <c r="AA18" s="103">
        <f t="shared" si="8"/>
        <v>1.259865310420363</v>
      </c>
      <c r="AB18" s="103">
        <f t="shared" si="8"/>
        <v>1.2894876279770338</v>
      </c>
      <c r="AC18" s="103">
        <f t="shared" si="8"/>
        <v>1.3218107190134532</v>
      </c>
      <c r="AD18" s="6" t="s">
        <v>53</v>
      </c>
    </row>
    <row r="19" spans="1:32" ht="15.95" customHeight="1" x14ac:dyDescent="0.15">
      <c r="A19" s="186" t="s">
        <v>276</v>
      </c>
      <c r="B19" s="253" t="s">
        <v>157</v>
      </c>
      <c r="C19" s="226" t="s">
        <v>158</v>
      </c>
      <c r="D19" s="6" t="s">
        <v>91</v>
      </c>
      <c r="E19" s="105">
        <f>E13*E17*$C5*365/1000000</f>
        <v>111.1425</v>
      </c>
      <c r="F19" s="105">
        <f t="shared" ref="F19:O19" si="9">F13*F17*$C5*365/1000000</f>
        <v>111.13390410620862</v>
      </c>
      <c r="G19" s="105">
        <f t="shared" si="9"/>
        <v>111.12362518041571</v>
      </c>
      <c r="H19" s="105">
        <f t="shared" si="9"/>
        <v>111.11164341638622</v>
      </c>
      <c r="I19" s="105">
        <f t="shared" si="9"/>
        <v>111.09774975779159</v>
      </c>
      <c r="J19" s="105">
        <f t="shared" si="9"/>
        <v>111.08210073073104</v>
      </c>
      <c r="K19" s="105">
        <f t="shared" si="9"/>
        <v>111.06466508050694</v>
      </c>
      <c r="L19" s="105">
        <f t="shared" si="9"/>
        <v>111.04521795579592</v>
      </c>
      <c r="M19" s="105">
        <f t="shared" si="9"/>
        <v>111.02390607957031</v>
      </c>
      <c r="N19" s="105">
        <f t="shared" si="9"/>
        <v>111.00068466227444</v>
      </c>
      <c r="O19" s="105">
        <f t="shared" si="9"/>
        <v>110.97530927151917</v>
      </c>
      <c r="P19" s="109">
        <f>P13*P17*$D5*365/1000000</f>
        <v>65.913218400000005</v>
      </c>
      <c r="Q19" s="110">
        <f>Q13*Q17*$D5*365/1000000</f>
        <v>65.895708061141789</v>
      </c>
      <c r="R19" s="110">
        <f t="shared" ref="R19:AC19" si="10">R13*R17*$D5*365/1000000</f>
        <v>65.876801932363819</v>
      </c>
      <c r="S19" s="110">
        <f t="shared" si="10"/>
        <v>65.856572009586984</v>
      </c>
      <c r="T19" s="110">
        <f t="shared" si="10"/>
        <v>65.834968860583999</v>
      </c>
      <c r="U19" s="110">
        <f t="shared" si="10"/>
        <v>65.811813262410837</v>
      </c>
      <c r="V19" s="110">
        <f t="shared" si="10"/>
        <v>65.78716592946661</v>
      </c>
      <c r="W19" s="110">
        <f t="shared" si="10"/>
        <v>65.760960136394516</v>
      </c>
      <c r="X19" s="110">
        <f t="shared" si="10"/>
        <v>65.732990928458889</v>
      </c>
      <c r="Y19" s="110">
        <f t="shared" si="10"/>
        <v>65.703303004569065</v>
      </c>
      <c r="Z19" s="110">
        <f t="shared" si="10"/>
        <v>65.671805456455431</v>
      </c>
      <c r="AA19" s="110">
        <f t="shared" si="10"/>
        <v>65.638257798559522</v>
      </c>
      <c r="AB19" s="110">
        <f t="shared" si="10"/>
        <v>65.602680785948422</v>
      </c>
      <c r="AC19" s="110">
        <f t="shared" si="10"/>
        <v>65.564948249034657</v>
      </c>
      <c r="AD19" s="25">
        <f t="shared" ref="AD19:AD23" si="11">SUM(E19:AC19)</f>
        <v>2142.4525010561747</v>
      </c>
    </row>
    <row r="20" spans="1:32" ht="15.95" customHeight="1" x14ac:dyDescent="0.15">
      <c r="A20" s="186" t="s">
        <v>277</v>
      </c>
      <c r="B20" s="252"/>
      <c r="C20" s="226"/>
      <c r="D20" s="6" t="s">
        <v>93</v>
      </c>
      <c r="E20" s="106">
        <f>E14*E18*$C6*365/1000000</f>
        <v>62.98075</v>
      </c>
      <c r="F20" s="106">
        <f t="shared" ref="F20:H20" si="12">F14*F18*$C6*365/1000000</f>
        <v>62.977848182355523</v>
      </c>
      <c r="G20" s="106">
        <f t="shared" si="12"/>
        <v>62.974302777379549</v>
      </c>
      <c r="H20" s="106">
        <f t="shared" si="12"/>
        <v>62.970106136429749</v>
      </c>
      <c r="I20" s="106">
        <f>I14*I18*$C6*365/1000000</f>
        <v>62.965377268230924</v>
      </c>
      <c r="J20" s="107">
        <f>J14*J18*$D6*365/1000000</f>
        <v>55.000930200000006</v>
      </c>
      <c r="K20" s="106">
        <f>K14*K18*$D6*365/1000000</f>
        <v>54.995618831671919</v>
      </c>
      <c r="L20" s="106">
        <f t="shared" ref="L20:O20" si="13">L14*L18*$D6*365/1000000</f>
        <v>54.98981426583974</v>
      </c>
      <c r="M20" s="106">
        <f t="shared" si="13"/>
        <v>54.983390521781331</v>
      </c>
      <c r="N20" s="106">
        <f t="shared" si="13"/>
        <v>54.976332553998759</v>
      </c>
      <c r="O20" s="106">
        <f t="shared" si="13"/>
        <v>54.968740868140749</v>
      </c>
      <c r="P20" s="106">
        <f t="shared" ref="P20:AC20" si="14">P14*P18*$D6*365/1000000</f>
        <v>54.960481770304796</v>
      </c>
      <c r="Q20" s="106">
        <f t="shared" si="14"/>
        <v>54.951534649012309</v>
      </c>
      <c r="R20" s="106">
        <f t="shared" si="14"/>
        <v>54.941998061839193</v>
      </c>
      <c r="S20" s="106">
        <f t="shared" si="14"/>
        <v>54.931728357366964</v>
      </c>
      <c r="T20" s="106">
        <f t="shared" si="14"/>
        <v>54.920697777177168</v>
      </c>
      <c r="U20" s="106">
        <f t="shared" si="14"/>
        <v>54.909002265061567</v>
      </c>
      <c r="V20" s="106">
        <f t="shared" si="14"/>
        <v>54.8964851117384</v>
      </c>
      <c r="W20" s="106">
        <f t="shared" si="14"/>
        <v>54.883109009428345</v>
      </c>
      <c r="X20" s="106">
        <f t="shared" si="14"/>
        <v>54.868965934121334</v>
      </c>
      <c r="Y20" s="106">
        <f t="shared" si="14"/>
        <v>54.853881684264287</v>
      </c>
      <c r="Z20" s="106">
        <f t="shared" si="14"/>
        <v>54.837805675870541</v>
      </c>
      <c r="AA20" s="106">
        <f t="shared" si="14"/>
        <v>54.820823383807181</v>
      </c>
      <c r="AB20" s="106">
        <f t="shared" si="14"/>
        <v>54.802736504803036</v>
      </c>
      <c r="AC20" s="106">
        <f t="shared" si="14"/>
        <v>54.783475204424811</v>
      </c>
      <c r="AD20" s="25">
        <f t="shared" si="11"/>
        <v>1413.1459369950485</v>
      </c>
    </row>
    <row r="21" spans="1:32" ht="15.95" customHeight="1" x14ac:dyDescent="0.15">
      <c r="A21" s="186" t="s">
        <v>278</v>
      </c>
      <c r="B21" s="253" t="s">
        <v>159</v>
      </c>
      <c r="C21" s="226"/>
      <c r="D21" s="6" t="s">
        <v>91</v>
      </c>
      <c r="E21" s="4"/>
      <c r="F21" s="4"/>
      <c r="G21" s="4"/>
      <c r="H21" s="4"/>
      <c r="I21" s="4"/>
      <c r="J21" s="4"/>
      <c r="K21" s="4"/>
      <c r="L21" s="4"/>
      <c r="M21" s="4"/>
      <c r="N21" s="4"/>
      <c r="O21" s="214">
        <f>$J$5*(P11)^$K$5/1000*(1+23.8/33.4)</f>
        <v>1169.1798809010888</v>
      </c>
      <c r="P21" s="46"/>
      <c r="Q21" s="25"/>
      <c r="R21" s="4"/>
      <c r="S21" s="4"/>
      <c r="T21" s="4"/>
      <c r="U21" s="4"/>
      <c r="V21" s="4"/>
      <c r="W21" s="4"/>
      <c r="X21" s="4"/>
      <c r="Y21" s="4"/>
      <c r="Z21" s="4"/>
      <c r="AA21" s="4"/>
      <c r="AB21" s="4"/>
      <c r="AC21" s="4"/>
      <c r="AD21" s="25">
        <f t="shared" si="11"/>
        <v>1169.1798809010888</v>
      </c>
    </row>
    <row r="22" spans="1:32" ht="15.95" customHeight="1" x14ac:dyDescent="0.15">
      <c r="A22" s="186" t="s">
        <v>279</v>
      </c>
      <c r="B22" s="252"/>
      <c r="C22" s="226"/>
      <c r="D22" s="6" t="s">
        <v>93</v>
      </c>
      <c r="E22" s="4"/>
      <c r="F22" s="4"/>
      <c r="G22" s="4"/>
      <c r="H22" s="4"/>
      <c r="I22" s="214">
        <f>$J$6*(J12/1000)^$K$6/1000*0.662*(103.3/101.5)</f>
        <v>1474.8990031523317</v>
      </c>
      <c r="J22" s="46"/>
      <c r="K22" s="25"/>
      <c r="L22" s="4"/>
      <c r="M22" s="4"/>
      <c r="N22" s="4"/>
      <c r="O22" s="4"/>
      <c r="P22" s="4"/>
      <c r="Q22" s="4"/>
      <c r="R22" s="4"/>
      <c r="S22" s="4"/>
      <c r="T22" s="4"/>
      <c r="U22" s="4"/>
      <c r="V22" s="4"/>
      <c r="W22" s="4"/>
      <c r="X22" s="4"/>
      <c r="Y22" s="4"/>
      <c r="Z22" s="4"/>
      <c r="AA22" s="4"/>
      <c r="AB22" s="4"/>
      <c r="AC22" s="4"/>
      <c r="AD22" s="25">
        <f t="shared" si="11"/>
        <v>1474.8990031523317</v>
      </c>
      <c r="AF22" s="93"/>
    </row>
    <row r="23" spans="1:32" ht="15.95" customHeight="1" x14ac:dyDescent="0.15">
      <c r="B23" s="9" t="s">
        <v>160</v>
      </c>
      <c r="C23" s="226"/>
      <c r="D23" s="11" t="s">
        <v>53</v>
      </c>
      <c r="E23" s="25">
        <f>SUM(E19:E22)</f>
        <v>174.12324999999998</v>
      </c>
      <c r="F23" s="25">
        <f t="shared" ref="F23:AC23" si="15">SUM(F19:F22)</f>
        <v>174.11175228856413</v>
      </c>
      <c r="G23" s="25">
        <f t="shared" si="15"/>
        <v>174.09792795779526</v>
      </c>
      <c r="H23" s="25">
        <f t="shared" si="15"/>
        <v>174.08174955281595</v>
      </c>
      <c r="I23" s="25">
        <f t="shared" si="15"/>
        <v>1648.9621301783543</v>
      </c>
      <c r="J23" s="25">
        <f t="shared" si="15"/>
        <v>166.08303093073104</v>
      </c>
      <c r="K23" s="25">
        <f t="shared" si="15"/>
        <v>166.06028391217887</v>
      </c>
      <c r="L23" s="25">
        <f t="shared" si="15"/>
        <v>166.03503222163567</v>
      </c>
      <c r="M23" s="25">
        <f t="shared" si="15"/>
        <v>166.00729660135164</v>
      </c>
      <c r="N23" s="25">
        <f t="shared" si="15"/>
        <v>165.9770172162732</v>
      </c>
      <c r="O23" s="25">
        <f t="shared" si="15"/>
        <v>1335.1239310407486</v>
      </c>
      <c r="P23" s="25">
        <f t="shared" si="15"/>
        <v>120.8737001703048</v>
      </c>
      <c r="Q23" s="25">
        <f t="shared" si="15"/>
        <v>120.84724271015409</v>
      </c>
      <c r="R23" s="25">
        <f t="shared" si="15"/>
        <v>120.818799994203</v>
      </c>
      <c r="S23" s="25">
        <f t="shared" si="15"/>
        <v>120.78830036695395</v>
      </c>
      <c r="T23" s="25">
        <f t="shared" si="15"/>
        <v>120.75566663776117</v>
      </c>
      <c r="U23" s="25">
        <f t="shared" si="15"/>
        <v>120.72081552747241</v>
      </c>
      <c r="V23" s="25">
        <f t="shared" si="15"/>
        <v>120.68365104120501</v>
      </c>
      <c r="W23" s="25">
        <f t="shared" si="15"/>
        <v>120.64406914582287</v>
      </c>
      <c r="X23" s="25">
        <f t="shared" si="15"/>
        <v>120.60195686258022</v>
      </c>
      <c r="Y23" s="25">
        <f t="shared" si="15"/>
        <v>120.55718468883336</v>
      </c>
      <c r="Z23" s="25">
        <f t="shared" si="15"/>
        <v>120.50961113232597</v>
      </c>
      <c r="AA23" s="25">
        <f t="shared" si="15"/>
        <v>120.4590811823667</v>
      </c>
      <c r="AB23" s="25">
        <f t="shared" si="15"/>
        <v>120.40541729075146</v>
      </c>
      <c r="AC23" s="25">
        <f t="shared" si="15"/>
        <v>120.34842345345947</v>
      </c>
      <c r="AD23" s="25">
        <f t="shared" si="11"/>
        <v>6199.6773221046433</v>
      </c>
    </row>
    <row r="24" spans="1:32" ht="15.95" customHeight="1" x14ac:dyDescent="0.15">
      <c r="A24" s="186" t="s">
        <v>280</v>
      </c>
      <c r="B24" s="9" t="s">
        <v>161</v>
      </c>
      <c r="C24" s="226"/>
      <c r="D24" s="11" t="s">
        <v>53</v>
      </c>
      <c r="E24" s="25">
        <f>E23</f>
        <v>174.12324999999998</v>
      </c>
      <c r="F24" s="25">
        <f>E24+F23</f>
        <v>348.23500228856415</v>
      </c>
      <c r="G24" s="25">
        <f t="shared" ref="G24:AC24" si="16">F24+G23</f>
        <v>522.33293024635941</v>
      </c>
      <c r="H24" s="25">
        <f t="shared" si="16"/>
        <v>696.41467979917536</v>
      </c>
      <c r="I24" s="25">
        <f t="shared" si="16"/>
        <v>2345.3768099775298</v>
      </c>
      <c r="J24" s="25">
        <f t="shared" si="16"/>
        <v>2511.459840908261</v>
      </c>
      <c r="K24" s="25">
        <f t="shared" si="16"/>
        <v>2677.5201248204398</v>
      </c>
      <c r="L24" s="25">
        <f t="shared" si="16"/>
        <v>2843.5551570420757</v>
      </c>
      <c r="M24" s="25">
        <f t="shared" si="16"/>
        <v>3009.5624536434275</v>
      </c>
      <c r="N24" s="25">
        <f t="shared" si="16"/>
        <v>3175.5394708597005</v>
      </c>
      <c r="O24" s="25">
        <f t="shared" si="16"/>
        <v>4510.6634019004487</v>
      </c>
      <c r="P24" s="25">
        <f t="shared" si="16"/>
        <v>4631.5371020707535</v>
      </c>
      <c r="Q24" s="25">
        <f t="shared" si="16"/>
        <v>4752.3843447809077</v>
      </c>
      <c r="R24" s="25">
        <f t="shared" si="16"/>
        <v>4873.2031447751106</v>
      </c>
      <c r="S24" s="25">
        <f t="shared" si="16"/>
        <v>4993.9914451420645</v>
      </c>
      <c r="T24" s="25">
        <f t="shared" si="16"/>
        <v>5114.7471117798259</v>
      </c>
      <c r="U24" s="25">
        <f t="shared" si="16"/>
        <v>5235.4679273072979</v>
      </c>
      <c r="V24" s="25">
        <f t="shared" si="16"/>
        <v>5356.1515783485029</v>
      </c>
      <c r="W24" s="25">
        <f t="shared" si="16"/>
        <v>5476.7956474943257</v>
      </c>
      <c r="X24" s="25">
        <f t="shared" si="16"/>
        <v>5597.3976043569064</v>
      </c>
      <c r="Y24" s="25">
        <f t="shared" si="16"/>
        <v>5717.9547890457397</v>
      </c>
      <c r="Z24" s="25">
        <f t="shared" si="16"/>
        <v>5838.4644001780653</v>
      </c>
      <c r="AA24" s="25">
        <f t="shared" si="16"/>
        <v>5958.9234813604317</v>
      </c>
      <c r="AB24" s="25">
        <f t="shared" si="16"/>
        <v>6079.3288986511834</v>
      </c>
      <c r="AC24" s="25">
        <f t="shared" si="16"/>
        <v>6199.6773221046433</v>
      </c>
      <c r="AD24" s="28">
        <f>AD23/COUNTA(E10:AC10)</f>
        <v>247.98709288418573</v>
      </c>
    </row>
    <row r="25" spans="1:32" x14ac:dyDescent="0.15">
      <c r="B25" t="s">
        <v>153</v>
      </c>
      <c r="C25" t="s">
        <v>162</v>
      </c>
      <c r="AD25" s="29" t="s">
        <v>163</v>
      </c>
    </row>
    <row r="26" spans="1:32" x14ac:dyDescent="0.15">
      <c r="B26" t="s">
        <v>154</v>
      </c>
      <c r="C26" t="s">
        <v>165</v>
      </c>
    </row>
    <row r="27" spans="1:32" x14ac:dyDescent="0.15">
      <c r="B27" t="s">
        <v>155</v>
      </c>
      <c r="C27" t="s">
        <v>166</v>
      </c>
    </row>
    <row r="28" spans="1:32" x14ac:dyDescent="0.15">
      <c r="B28" s="18" t="s">
        <v>156</v>
      </c>
      <c r="C28" s="19" t="s">
        <v>167</v>
      </c>
    </row>
    <row r="29" spans="1:32" ht="15.75" x14ac:dyDescent="0.15">
      <c r="B29" s="20" t="s">
        <v>157</v>
      </c>
      <c r="C29" s="184" t="s">
        <v>259</v>
      </c>
    </row>
    <row r="30" spans="1:32" x14ac:dyDescent="0.15">
      <c r="B30" s="18" t="s">
        <v>159</v>
      </c>
      <c r="C30" s="185" t="s">
        <v>260</v>
      </c>
    </row>
    <row r="31" spans="1:32" x14ac:dyDescent="0.15">
      <c r="B31" t="s">
        <v>160</v>
      </c>
      <c r="C31" t="s">
        <v>168</v>
      </c>
    </row>
    <row r="32" spans="1:32" x14ac:dyDescent="0.15">
      <c r="B32" t="s">
        <v>161</v>
      </c>
      <c r="C32" s="19" t="s">
        <v>169</v>
      </c>
    </row>
    <row r="54" spans="1:30" s="15" customFormat="1" ht="18.75" x14ac:dyDescent="0.15">
      <c r="F54" s="15" t="s">
        <v>170</v>
      </c>
    </row>
    <row r="55" spans="1:30" x14ac:dyDescent="0.15">
      <c r="A55" s="220" t="s">
        <v>82</v>
      </c>
      <c r="B55" s="220" t="s">
        <v>83</v>
      </c>
      <c r="C55" s="226" t="s">
        <v>129</v>
      </c>
      <c r="D55" s="226" t="s">
        <v>130</v>
      </c>
      <c r="Q55" s="43" t="s">
        <v>139</v>
      </c>
      <c r="R55" s="43" t="s">
        <v>139</v>
      </c>
    </row>
    <row r="56" spans="1:30" ht="13.5" customHeight="1" x14ac:dyDescent="0.15">
      <c r="A56" s="220"/>
      <c r="B56" s="220"/>
      <c r="C56" s="220"/>
      <c r="D56" s="268"/>
      <c r="Q56" s="108" t="s">
        <v>150</v>
      </c>
      <c r="R56" s="44" t="s">
        <v>151</v>
      </c>
    </row>
    <row r="57" spans="1:30" x14ac:dyDescent="0.15">
      <c r="A57" s="12" t="s">
        <v>91</v>
      </c>
      <c r="B57" s="12" t="s">
        <v>92</v>
      </c>
      <c r="C57" s="16">
        <f>維持管理費等!D12</f>
        <v>75</v>
      </c>
      <c r="D57" s="16">
        <f>ROUND(1000*(2468*P63^0.382)/((P65+P66)*365),0)</f>
        <v>38</v>
      </c>
      <c r="E57" s="93"/>
      <c r="Q57" s="4">
        <f>$P$5*(E68*100)^$Q$5</f>
        <v>1.5342472491364942</v>
      </c>
      <c r="R57" s="4">
        <f>$P$5*(P68*100)^$Q$5</f>
        <v>1.0517614584027348</v>
      </c>
    </row>
    <row r="58" spans="1:30" x14ac:dyDescent="0.15">
      <c r="A58" s="6" t="s">
        <v>93</v>
      </c>
      <c r="B58" s="6" t="s">
        <v>94</v>
      </c>
      <c r="C58" s="17">
        <f>維持管理費等!D14</f>
        <v>85</v>
      </c>
      <c r="D58" s="94"/>
      <c r="Q58" s="4">
        <f>$P$6*(E69*100)^$Q$6</f>
        <v>1.6070403904153663</v>
      </c>
      <c r="R58" s="4"/>
    </row>
    <row r="62" spans="1:30" x14ac:dyDescent="0.15">
      <c r="B62" s="6" t="s">
        <v>43</v>
      </c>
      <c r="C62" s="6" t="s">
        <v>2</v>
      </c>
      <c r="D62" s="6" t="s">
        <v>127</v>
      </c>
      <c r="E62" s="24">
        <v>1</v>
      </c>
      <c r="F62" s="24">
        <v>2</v>
      </c>
      <c r="G62" s="24">
        <v>3</v>
      </c>
      <c r="H62" s="24">
        <v>4</v>
      </c>
      <c r="I62" s="24">
        <v>5</v>
      </c>
      <c r="J62" s="24">
        <v>6</v>
      </c>
      <c r="K62" s="24">
        <v>7</v>
      </c>
      <c r="L62" s="24">
        <v>8</v>
      </c>
      <c r="M62" s="24">
        <v>9</v>
      </c>
      <c r="N62" s="24">
        <v>10</v>
      </c>
      <c r="O62" s="24">
        <v>11</v>
      </c>
      <c r="P62" s="24">
        <v>12</v>
      </c>
      <c r="Q62" s="24">
        <v>13</v>
      </c>
      <c r="R62" s="24">
        <v>14</v>
      </c>
      <c r="S62" s="24">
        <v>15</v>
      </c>
      <c r="T62" s="24">
        <v>16</v>
      </c>
      <c r="U62" s="24">
        <v>17</v>
      </c>
      <c r="V62" s="24">
        <v>18</v>
      </c>
      <c r="W62" s="24">
        <v>19</v>
      </c>
      <c r="X62" s="24">
        <v>20</v>
      </c>
      <c r="Y62" s="24">
        <v>21</v>
      </c>
      <c r="Z62" s="24">
        <v>22</v>
      </c>
      <c r="AA62" s="24">
        <v>23</v>
      </c>
      <c r="AB62" s="24">
        <v>24</v>
      </c>
      <c r="AC62" s="24">
        <v>25</v>
      </c>
      <c r="AD62" s="6" t="s">
        <v>126</v>
      </c>
    </row>
    <row r="63" spans="1:30" x14ac:dyDescent="0.15">
      <c r="B63" s="252" t="s">
        <v>153</v>
      </c>
      <c r="C63" s="220" t="s">
        <v>128</v>
      </c>
      <c r="D63" s="6" t="s">
        <v>91</v>
      </c>
      <c r="E63" s="101">
        <f t="shared" ref="E63:O63" si="17">$G$5</f>
        <v>9000</v>
      </c>
      <c r="F63" s="24">
        <f t="shared" si="17"/>
        <v>9000</v>
      </c>
      <c r="G63" s="24">
        <f t="shared" si="17"/>
        <v>9000</v>
      </c>
      <c r="H63" s="24">
        <f t="shared" si="17"/>
        <v>9000</v>
      </c>
      <c r="I63" s="24">
        <f t="shared" si="17"/>
        <v>9000</v>
      </c>
      <c r="J63" s="24">
        <f t="shared" si="17"/>
        <v>9000</v>
      </c>
      <c r="K63" s="24">
        <f t="shared" si="17"/>
        <v>9000</v>
      </c>
      <c r="L63" s="24">
        <f t="shared" si="17"/>
        <v>9000</v>
      </c>
      <c r="M63" s="24">
        <f t="shared" si="17"/>
        <v>9000</v>
      </c>
      <c r="N63" s="24">
        <f t="shared" si="17"/>
        <v>9000</v>
      </c>
      <c r="O63" s="24">
        <f t="shared" si="17"/>
        <v>9000</v>
      </c>
      <c r="P63" s="102">
        <f t="shared" ref="P63:AC63" si="18">$I$5</f>
        <v>8500</v>
      </c>
      <c r="Q63" s="24">
        <f t="shared" si="18"/>
        <v>8500</v>
      </c>
      <c r="R63" s="24">
        <f t="shared" si="18"/>
        <v>8500</v>
      </c>
      <c r="S63" s="24">
        <f t="shared" si="18"/>
        <v>8500</v>
      </c>
      <c r="T63" s="24">
        <f t="shared" si="18"/>
        <v>8500</v>
      </c>
      <c r="U63" s="24">
        <f t="shared" si="18"/>
        <v>8500</v>
      </c>
      <c r="V63" s="24">
        <f t="shared" si="18"/>
        <v>8500</v>
      </c>
      <c r="W63" s="24">
        <f t="shared" si="18"/>
        <v>8500</v>
      </c>
      <c r="X63" s="24">
        <f t="shared" si="18"/>
        <v>8500</v>
      </c>
      <c r="Y63" s="24">
        <f t="shared" si="18"/>
        <v>8500</v>
      </c>
      <c r="Z63" s="24">
        <f t="shared" si="18"/>
        <v>8500</v>
      </c>
      <c r="AA63" s="24">
        <f t="shared" si="18"/>
        <v>8500</v>
      </c>
      <c r="AB63" s="24">
        <f t="shared" si="18"/>
        <v>8500</v>
      </c>
      <c r="AC63" s="24">
        <f t="shared" si="18"/>
        <v>8500</v>
      </c>
      <c r="AD63" s="6" t="s">
        <v>53</v>
      </c>
    </row>
    <row r="64" spans="1:30" x14ac:dyDescent="0.15">
      <c r="B64" s="252"/>
      <c r="C64" s="220"/>
      <c r="D64" s="6" t="s">
        <v>93</v>
      </c>
      <c r="E64" s="24">
        <f t="shared" ref="E64:I64" si="19">$G$6</f>
        <v>4700</v>
      </c>
      <c r="F64" s="24">
        <f t="shared" si="19"/>
        <v>4700</v>
      </c>
      <c r="G64" s="24">
        <f t="shared" si="19"/>
        <v>4700</v>
      </c>
      <c r="H64" s="24">
        <f t="shared" si="19"/>
        <v>4700</v>
      </c>
      <c r="I64" s="24">
        <f t="shared" si="19"/>
        <v>4700</v>
      </c>
      <c r="J64" s="295" t="s">
        <v>171</v>
      </c>
      <c r="K64" s="296"/>
      <c r="L64" s="296"/>
      <c r="M64" s="296"/>
      <c r="N64" s="296"/>
      <c r="O64" s="296"/>
      <c r="P64" s="296"/>
      <c r="Q64" s="296"/>
      <c r="R64" s="296"/>
      <c r="S64" s="296"/>
      <c r="T64" s="296"/>
      <c r="U64" s="296"/>
      <c r="V64" s="296"/>
      <c r="W64" s="296"/>
      <c r="X64" s="296"/>
      <c r="Y64" s="296"/>
      <c r="Z64" s="296"/>
      <c r="AA64" s="296"/>
      <c r="AB64" s="296"/>
      <c r="AC64" s="297"/>
      <c r="AD64" s="6" t="s">
        <v>53</v>
      </c>
    </row>
    <row r="65" spans="1:31" ht="40.5" x14ac:dyDescent="0.15">
      <c r="B65" s="257" t="s">
        <v>154</v>
      </c>
      <c r="C65" s="228" t="s">
        <v>128</v>
      </c>
      <c r="D65" s="13" t="s">
        <v>172</v>
      </c>
      <c r="E65" s="25">
        <f t="shared" ref="E65:AC65" si="20">E13</f>
        <v>4060</v>
      </c>
      <c r="F65" s="25">
        <f t="shared" si="20"/>
        <v>4046.37</v>
      </c>
      <c r="G65" s="25">
        <f t="shared" si="20"/>
        <v>4030.13</v>
      </c>
      <c r="H65" s="25">
        <f t="shared" si="20"/>
        <v>4011.28</v>
      </c>
      <c r="I65" s="25">
        <f t="shared" si="20"/>
        <v>3989.53</v>
      </c>
      <c r="J65" s="25">
        <f t="shared" si="20"/>
        <v>3965.17</v>
      </c>
      <c r="K65" s="25">
        <f t="shared" si="20"/>
        <v>3938.2</v>
      </c>
      <c r="L65" s="25">
        <f t="shared" si="20"/>
        <v>3908.33</v>
      </c>
      <c r="M65" s="25">
        <f t="shared" si="20"/>
        <v>3875.85</v>
      </c>
      <c r="N65" s="25">
        <f t="shared" si="20"/>
        <v>3840.76</v>
      </c>
      <c r="O65" s="25">
        <f t="shared" si="20"/>
        <v>3802.77</v>
      </c>
      <c r="P65" s="25">
        <f t="shared" si="20"/>
        <v>3762.17</v>
      </c>
      <c r="Q65" s="25">
        <f t="shared" si="20"/>
        <v>3718.96</v>
      </c>
      <c r="R65" s="25">
        <f t="shared" si="20"/>
        <v>3672.85</v>
      </c>
      <c r="S65" s="25">
        <f t="shared" si="20"/>
        <v>3624.13</v>
      </c>
      <c r="T65" s="25">
        <f t="shared" si="20"/>
        <v>3572.8</v>
      </c>
      <c r="U65" s="25">
        <f t="shared" si="20"/>
        <v>3518.57</v>
      </c>
      <c r="V65" s="25">
        <f t="shared" si="20"/>
        <v>3461.73</v>
      </c>
      <c r="W65" s="25">
        <f t="shared" si="20"/>
        <v>3402.28</v>
      </c>
      <c r="X65" s="25">
        <f t="shared" si="20"/>
        <v>3339.93</v>
      </c>
      <c r="Y65" s="25">
        <f t="shared" si="20"/>
        <v>3274.97</v>
      </c>
      <c r="Z65" s="25">
        <f t="shared" si="20"/>
        <v>3207.4</v>
      </c>
      <c r="AA65" s="25">
        <f t="shared" si="20"/>
        <v>3136.93</v>
      </c>
      <c r="AB65" s="25">
        <f t="shared" si="20"/>
        <v>3063.85</v>
      </c>
      <c r="AC65" s="25">
        <f t="shared" si="20"/>
        <v>2988.16</v>
      </c>
      <c r="AD65" s="6" t="s">
        <v>53</v>
      </c>
    </row>
    <row r="66" spans="1:31" x14ac:dyDescent="0.15">
      <c r="B66" s="258"/>
      <c r="C66" s="222"/>
      <c r="D66" s="6" t="s">
        <v>93</v>
      </c>
      <c r="E66" s="25">
        <f t="shared" ref="E66:AC66" si="21">E14</f>
        <v>2030</v>
      </c>
      <c r="F66" s="25">
        <f t="shared" si="21"/>
        <v>2023.33</v>
      </c>
      <c r="G66" s="25">
        <f t="shared" si="21"/>
        <v>2015.21</v>
      </c>
      <c r="H66" s="25">
        <f t="shared" si="21"/>
        <v>2005.64</v>
      </c>
      <c r="I66" s="25">
        <f t="shared" si="21"/>
        <v>1994.91</v>
      </c>
      <c r="J66" s="115">
        <f t="shared" si="21"/>
        <v>1982.73</v>
      </c>
      <c r="K66" s="115">
        <f t="shared" si="21"/>
        <v>1969.1</v>
      </c>
      <c r="L66" s="115">
        <f t="shared" si="21"/>
        <v>1954.31</v>
      </c>
      <c r="M66" s="115">
        <f t="shared" si="21"/>
        <v>1938.07</v>
      </c>
      <c r="N66" s="115">
        <f t="shared" si="21"/>
        <v>1920.38</v>
      </c>
      <c r="O66" s="115">
        <f t="shared" si="21"/>
        <v>1901.53</v>
      </c>
      <c r="P66" s="115">
        <f t="shared" si="21"/>
        <v>1881.23</v>
      </c>
      <c r="Q66" s="115">
        <f t="shared" si="21"/>
        <v>1859.48</v>
      </c>
      <c r="R66" s="115">
        <f t="shared" si="21"/>
        <v>1836.57</v>
      </c>
      <c r="S66" s="115">
        <f t="shared" si="21"/>
        <v>1812.21</v>
      </c>
      <c r="T66" s="115">
        <f t="shared" si="21"/>
        <v>1786.4</v>
      </c>
      <c r="U66" s="115">
        <f t="shared" si="21"/>
        <v>1759.43</v>
      </c>
      <c r="V66" s="115">
        <f t="shared" si="21"/>
        <v>1731.01</v>
      </c>
      <c r="W66" s="115">
        <f t="shared" si="21"/>
        <v>1701.14</v>
      </c>
      <c r="X66" s="115">
        <f t="shared" si="21"/>
        <v>1670.11</v>
      </c>
      <c r="Y66" s="115">
        <f t="shared" si="21"/>
        <v>1637.63</v>
      </c>
      <c r="Z66" s="115">
        <f t="shared" si="21"/>
        <v>1603.7</v>
      </c>
      <c r="AA66" s="115">
        <f t="shared" si="21"/>
        <v>1568.61</v>
      </c>
      <c r="AB66" s="115">
        <f t="shared" si="21"/>
        <v>1532.07</v>
      </c>
      <c r="AC66" s="115">
        <f t="shared" si="21"/>
        <v>1494.08</v>
      </c>
      <c r="AD66" s="6" t="s">
        <v>53</v>
      </c>
    </row>
    <row r="67" spans="1:31" ht="10.5" customHeight="1" x14ac:dyDescent="0.15">
      <c r="B67" s="258"/>
      <c r="C67" s="223"/>
      <c r="D67" s="13" t="s">
        <v>174</v>
      </c>
      <c r="E67" s="25"/>
      <c r="F67" s="25"/>
      <c r="G67" s="25"/>
      <c r="H67" s="25"/>
      <c r="I67" s="25"/>
      <c r="J67" s="25">
        <f>J65+J66</f>
        <v>5947.9</v>
      </c>
      <c r="K67" s="25">
        <f t="shared" ref="K67:AC67" si="22">K65+K66</f>
        <v>5907.2999999999993</v>
      </c>
      <c r="L67" s="25">
        <f t="shared" si="22"/>
        <v>5862.6399999999994</v>
      </c>
      <c r="M67" s="25">
        <f t="shared" si="22"/>
        <v>5813.92</v>
      </c>
      <c r="N67" s="25">
        <f t="shared" si="22"/>
        <v>5761.14</v>
      </c>
      <c r="O67" s="25">
        <f t="shared" si="22"/>
        <v>5704.3</v>
      </c>
      <c r="P67" s="25">
        <f t="shared" si="22"/>
        <v>5643.4</v>
      </c>
      <c r="Q67" s="25">
        <f t="shared" si="22"/>
        <v>5578.4400000000005</v>
      </c>
      <c r="R67" s="25">
        <f t="shared" si="22"/>
        <v>5509.42</v>
      </c>
      <c r="S67" s="25">
        <f t="shared" si="22"/>
        <v>5436.34</v>
      </c>
      <c r="T67" s="25">
        <f t="shared" si="22"/>
        <v>5359.2000000000007</v>
      </c>
      <c r="U67" s="25">
        <f t="shared" si="22"/>
        <v>5278</v>
      </c>
      <c r="V67" s="25">
        <f t="shared" si="22"/>
        <v>5192.74</v>
      </c>
      <c r="W67" s="25">
        <f t="shared" si="22"/>
        <v>5103.42</v>
      </c>
      <c r="X67" s="25">
        <f t="shared" si="22"/>
        <v>5010.04</v>
      </c>
      <c r="Y67" s="25">
        <f t="shared" si="22"/>
        <v>4912.6000000000004</v>
      </c>
      <c r="Z67" s="25">
        <f t="shared" si="22"/>
        <v>4811.1000000000004</v>
      </c>
      <c r="AA67" s="25">
        <f t="shared" si="22"/>
        <v>4705.54</v>
      </c>
      <c r="AB67" s="25">
        <f t="shared" si="22"/>
        <v>4595.92</v>
      </c>
      <c r="AC67" s="25">
        <f t="shared" si="22"/>
        <v>4482.24</v>
      </c>
      <c r="AD67" s="6" t="s">
        <v>53</v>
      </c>
    </row>
    <row r="68" spans="1:31" ht="10.5" customHeight="1" x14ac:dyDescent="0.15">
      <c r="B68" s="252" t="s">
        <v>155</v>
      </c>
      <c r="C68" s="221" t="s">
        <v>8</v>
      </c>
      <c r="D68" s="6" t="s">
        <v>91</v>
      </c>
      <c r="E68" s="31">
        <f t="shared" ref="E68:I69" si="23">E65/E63</f>
        <v>0.45111111111111113</v>
      </c>
      <c r="F68" s="31">
        <f t="shared" si="23"/>
        <v>0.44959666666666664</v>
      </c>
      <c r="G68" s="31">
        <f t="shared" si="23"/>
        <v>0.44779222222222226</v>
      </c>
      <c r="H68" s="31">
        <f t="shared" si="23"/>
        <v>0.4456977777777778</v>
      </c>
      <c r="I68" s="31">
        <f t="shared" si="23"/>
        <v>0.44328111111111113</v>
      </c>
      <c r="J68" s="31">
        <f t="shared" ref="J68:AC68" si="24">J67/J63</f>
        <v>0.66087777777777779</v>
      </c>
      <c r="K68" s="31">
        <f t="shared" si="24"/>
        <v>0.65636666666666654</v>
      </c>
      <c r="L68" s="31">
        <f t="shared" si="24"/>
        <v>0.65140444444444434</v>
      </c>
      <c r="M68" s="31">
        <f t="shared" si="24"/>
        <v>0.64599111111111107</v>
      </c>
      <c r="N68" s="31">
        <f t="shared" si="24"/>
        <v>0.64012666666666673</v>
      </c>
      <c r="O68" s="31">
        <f t="shared" si="24"/>
        <v>0.6338111111111111</v>
      </c>
      <c r="P68" s="31">
        <f t="shared" si="24"/>
        <v>0.66392941176470588</v>
      </c>
      <c r="Q68" s="31">
        <f t="shared" si="24"/>
        <v>0.65628705882352945</v>
      </c>
      <c r="R68" s="31">
        <f t="shared" si="24"/>
        <v>0.64816705882352943</v>
      </c>
      <c r="S68" s="31">
        <f t="shared" si="24"/>
        <v>0.63956941176470594</v>
      </c>
      <c r="T68" s="31">
        <f t="shared" si="24"/>
        <v>0.63049411764705887</v>
      </c>
      <c r="U68" s="31">
        <f t="shared" si="24"/>
        <v>0.62094117647058822</v>
      </c>
      <c r="V68" s="31">
        <f t="shared" si="24"/>
        <v>0.61091058823529409</v>
      </c>
      <c r="W68" s="31">
        <f t="shared" si="24"/>
        <v>0.6004023529411765</v>
      </c>
      <c r="X68" s="31">
        <f t="shared" si="24"/>
        <v>0.58941647058823532</v>
      </c>
      <c r="Y68" s="31">
        <f t="shared" si="24"/>
        <v>0.57795294117647067</v>
      </c>
      <c r="Z68" s="31">
        <f t="shared" si="24"/>
        <v>0.56601176470588244</v>
      </c>
      <c r="AA68" s="31">
        <f t="shared" si="24"/>
        <v>0.55359294117647062</v>
      </c>
      <c r="AB68" s="31">
        <f t="shared" si="24"/>
        <v>0.54069647058823533</v>
      </c>
      <c r="AC68" s="31">
        <f t="shared" si="24"/>
        <v>0.52732235294117646</v>
      </c>
      <c r="AD68" s="6" t="s">
        <v>53</v>
      </c>
    </row>
    <row r="69" spans="1:31" x14ac:dyDescent="0.15">
      <c r="B69" s="252"/>
      <c r="C69" s="223"/>
      <c r="D69" s="6" t="s">
        <v>93</v>
      </c>
      <c r="E69" s="31">
        <f t="shared" si="23"/>
        <v>0.43191489361702129</v>
      </c>
      <c r="F69" s="31">
        <f t="shared" si="23"/>
        <v>0.43049574468085106</v>
      </c>
      <c r="G69" s="31">
        <f t="shared" si="23"/>
        <v>0.42876808510638298</v>
      </c>
      <c r="H69" s="31">
        <f t="shared" si="23"/>
        <v>0.42673191489361706</v>
      </c>
      <c r="I69" s="31">
        <f t="shared" si="23"/>
        <v>0.42444893617021279</v>
      </c>
      <c r="J69" s="295" t="s">
        <v>171</v>
      </c>
      <c r="K69" s="296"/>
      <c r="L69" s="296"/>
      <c r="M69" s="296"/>
      <c r="N69" s="296"/>
      <c r="O69" s="296"/>
      <c r="P69" s="296"/>
      <c r="Q69" s="296"/>
      <c r="R69" s="296"/>
      <c r="S69" s="296"/>
      <c r="T69" s="296"/>
      <c r="U69" s="296"/>
      <c r="V69" s="296"/>
      <c r="W69" s="296"/>
      <c r="X69" s="296"/>
      <c r="Y69" s="296"/>
      <c r="Z69" s="296"/>
      <c r="AA69" s="296"/>
      <c r="AB69" s="296"/>
      <c r="AC69" s="297"/>
      <c r="AD69" s="6" t="s">
        <v>53</v>
      </c>
    </row>
    <row r="70" spans="1:31" x14ac:dyDescent="0.15">
      <c r="B70" s="253" t="s">
        <v>156</v>
      </c>
      <c r="C70" s="226" t="s">
        <v>53</v>
      </c>
      <c r="D70" s="6" t="s">
        <v>91</v>
      </c>
      <c r="E70" s="116">
        <v>1</v>
      </c>
      <c r="F70" s="116">
        <f t="shared" ref="F70:O70" si="25">$P$5*(F68*100)^$Q$5/$R$5</f>
        <v>1.0032908495138475</v>
      </c>
      <c r="G70" s="116">
        <f t="shared" si="25"/>
        <v>1.0072405874931165</v>
      </c>
      <c r="H70" s="116">
        <f t="shared" si="25"/>
        <v>1.0118647461317642</v>
      </c>
      <c r="I70" s="116">
        <f t="shared" si="25"/>
        <v>1.0172539842928507</v>
      </c>
      <c r="J70" s="116">
        <f t="shared" si="25"/>
        <v>0.68861525691833203</v>
      </c>
      <c r="K70" s="116">
        <f t="shared" si="25"/>
        <v>0.69323878994498334</v>
      </c>
      <c r="L70" s="116">
        <f t="shared" si="25"/>
        <v>0.69839778322390522</v>
      </c>
      <c r="M70" s="116">
        <f t="shared" si="25"/>
        <v>0.70411512176249635</v>
      </c>
      <c r="N70" s="116">
        <f t="shared" si="25"/>
        <v>0.71041676157734901</v>
      </c>
      <c r="O70" s="116">
        <f t="shared" si="25"/>
        <v>0.71733204324416067</v>
      </c>
      <c r="P70" s="120">
        <v>1</v>
      </c>
      <c r="Q70" s="116">
        <f>$P$5*(Q68*100)^$Q$5/R57</f>
        <v>1.0113754839124083</v>
      </c>
      <c r="R70" s="116">
        <f>$P$5*(R68*100)^$Q$5/R57</f>
        <v>1.0237524372241116</v>
      </c>
      <c r="S70" s="116">
        <f>$P$5*(S68*100)^$Q$5/R57</f>
        <v>1.0371960068926729</v>
      </c>
      <c r="T70" s="116">
        <f>$P$5*(T68*100)^$Q$5/R57</f>
        <v>1.0517795659634568</v>
      </c>
      <c r="U70" s="116">
        <f>$P$5*(U68*100)^$Q$5/R57</f>
        <v>1.0675858394745761</v>
      </c>
      <c r="V70" s="116">
        <f>$P$5*(V68*100)^$Q$5/R57</f>
        <v>1.084708236502552</v>
      </c>
      <c r="W70" s="116">
        <f>$P$5*(W68*100)^$Q$5/R57</f>
        <v>1.1032524321875579</v>
      </c>
      <c r="X70" s="116">
        <f>$P$5*(X68*100)^$Q$5/R57</f>
        <v>1.1233382547405504</v>
      </c>
      <c r="Y70" s="116">
        <f>$P$5*(Y68*100)^$Q$5/R57</f>
        <v>1.1451019468817962</v>
      </c>
      <c r="Z70" s="116">
        <f>$P$5*(Z68*100)^$Q$5/R57</f>
        <v>1.1686988900040418</v>
      </c>
      <c r="AA70" s="116">
        <f>$P$5*(AA68*100)^$Q$5/R57</f>
        <v>1.1943069041353145</v>
      </c>
      <c r="AB70" s="116">
        <f>$P$5*(AB68*100)^$Q$5/R57</f>
        <v>1.2221302696537661</v>
      </c>
      <c r="AC70" s="116">
        <f>$P$5*(AC68*100)^$Q$5/R57</f>
        <v>1.2524046607325716</v>
      </c>
      <c r="AD70" s="6" t="s">
        <v>53</v>
      </c>
    </row>
    <row r="71" spans="1:31" x14ac:dyDescent="0.15">
      <c r="B71" s="252"/>
      <c r="C71" s="226"/>
      <c r="D71" s="6" t="s">
        <v>93</v>
      </c>
      <c r="E71" s="116">
        <v>1</v>
      </c>
      <c r="F71" s="116">
        <f t="shared" ref="F71:I71" si="26">$P$6*(F69*100)^$Q$6/$R$6</f>
        <v>1.0032503192301374</v>
      </c>
      <c r="G71" s="116">
        <f t="shared" si="26"/>
        <v>1.0072360660493553</v>
      </c>
      <c r="H71" s="116">
        <f t="shared" si="26"/>
        <v>1.0119746944788901</v>
      </c>
      <c r="I71" s="116">
        <f t="shared" si="26"/>
        <v>1.0173413863379952</v>
      </c>
      <c r="J71" s="298" t="s">
        <v>171</v>
      </c>
      <c r="K71" s="299"/>
      <c r="L71" s="299"/>
      <c r="M71" s="299"/>
      <c r="N71" s="299"/>
      <c r="O71" s="299"/>
      <c r="P71" s="299"/>
      <c r="Q71" s="299"/>
      <c r="R71" s="299"/>
      <c r="S71" s="299"/>
      <c r="T71" s="299"/>
      <c r="U71" s="299"/>
      <c r="V71" s="299"/>
      <c r="W71" s="299"/>
      <c r="X71" s="299"/>
      <c r="Y71" s="299"/>
      <c r="Z71" s="299"/>
      <c r="AA71" s="299"/>
      <c r="AB71" s="299"/>
      <c r="AC71" s="300"/>
      <c r="AD71" s="6" t="s">
        <v>53</v>
      </c>
    </row>
    <row r="72" spans="1:31" x14ac:dyDescent="0.15">
      <c r="A72" t="s">
        <v>271</v>
      </c>
      <c r="B72" s="253" t="s">
        <v>157</v>
      </c>
      <c r="C72" s="226" t="s">
        <v>158</v>
      </c>
      <c r="D72" s="6" t="s">
        <v>91</v>
      </c>
      <c r="E72" s="117">
        <f t="shared" ref="E72:I73" si="27">E65*E70*$C5*365/1000000</f>
        <v>111.1425</v>
      </c>
      <c r="F72" s="117">
        <f t="shared" si="27"/>
        <v>111.13390410620862</v>
      </c>
      <c r="G72" s="117">
        <f t="shared" si="27"/>
        <v>111.12362518041571</v>
      </c>
      <c r="H72" s="117">
        <f t="shared" si="27"/>
        <v>111.11164341638622</v>
      </c>
      <c r="I72" s="117">
        <f t="shared" si="27"/>
        <v>111.09774975779159</v>
      </c>
      <c r="J72" s="117">
        <f t="shared" ref="J72:O72" si="28">J67*J70*$C5*365/1000000</f>
        <v>112.12292704634696</v>
      </c>
      <c r="K72" s="117">
        <f t="shared" si="28"/>
        <v>112.10526516767473</v>
      </c>
      <c r="L72" s="117">
        <f t="shared" si="28"/>
        <v>112.08569959811439</v>
      </c>
      <c r="M72" s="117">
        <f t="shared" si="28"/>
        <v>112.06418856613918</v>
      </c>
      <c r="N72" s="117">
        <f t="shared" si="28"/>
        <v>112.04068529660333</v>
      </c>
      <c r="O72" s="117">
        <f t="shared" si="28"/>
        <v>112.01513764585111</v>
      </c>
      <c r="P72" s="121">
        <f>P67*P70*$D57*365/1000000</f>
        <v>78.273957999999993</v>
      </c>
      <c r="Q72" s="117">
        <f>Q67*Q70*D57*365/1000000</f>
        <v>78.253117693586773</v>
      </c>
      <c r="R72" s="117">
        <f>R67*R70*D57*365/1000000</f>
        <v>78.230713457827832</v>
      </c>
      <c r="S72" s="117">
        <f>S67*S70*D57*365/1000000</f>
        <v>78.20669044333836</v>
      </c>
      <c r="T72" s="117">
        <f>T67*T70*D57*365/1000000</f>
        <v>78.180988082270545</v>
      </c>
      <c r="U72" s="117">
        <f>U67*U70*D57*365/1000000</f>
        <v>78.153539502558289</v>
      </c>
      <c r="V72" s="117">
        <f>V67*V70*D57*365/1000000</f>
        <v>78.124270851985543</v>
      </c>
      <c r="W72" s="117">
        <f>W67*W70*D57*365/1000000</f>
        <v>78.093100516073079</v>
      </c>
      <c r="X72" s="117">
        <f>X67*X70*D57*365/1000000</f>
        <v>78.059938210253407</v>
      </c>
      <c r="Y72" s="117">
        <f>Y67*Y70*D57*365/1000000</f>
        <v>78.024683922368482</v>
      </c>
      <c r="Z72" s="117">
        <f>Z67*Z70*D57*365/1000000</f>
        <v>77.987226675917427</v>
      </c>
      <c r="AA72" s="117">
        <f>AA67*AA70*D57*365/1000000</f>
        <v>77.947443077329382</v>
      </c>
      <c r="AB72" s="117">
        <f>AB67*AB70*D57*365/1000000</f>
        <v>77.905195601341987</v>
      </c>
      <c r="AC72" s="117">
        <f>AC67*AC70*D57*365/1000000</f>
        <v>77.860330556659591</v>
      </c>
      <c r="AD72" s="25">
        <f t="shared" ref="AD72:AD77" si="29">SUM(E72:AC72)</f>
        <v>2321.3445223730419</v>
      </c>
    </row>
    <row r="73" spans="1:31" x14ac:dyDescent="0.15">
      <c r="A73" t="s">
        <v>272</v>
      </c>
      <c r="B73" s="252"/>
      <c r="C73" s="226"/>
      <c r="D73" s="6" t="s">
        <v>93</v>
      </c>
      <c r="E73" s="117">
        <f t="shared" si="27"/>
        <v>62.98075</v>
      </c>
      <c r="F73" s="117">
        <f t="shared" si="27"/>
        <v>62.977848182355523</v>
      </c>
      <c r="G73" s="117">
        <f t="shared" si="27"/>
        <v>62.974302777379549</v>
      </c>
      <c r="H73" s="117">
        <f t="shared" si="27"/>
        <v>62.970106136429749</v>
      </c>
      <c r="I73" s="117">
        <f t="shared" si="27"/>
        <v>62.965377268230924</v>
      </c>
      <c r="J73" s="295" t="s">
        <v>171</v>
      </c>
      <c r="K73" s="296"/>
      <c r="L73" s="296"/>
      <c r="M73" s="296"/>
      <c r="N73" s="296"/>
      <c r="O73" s="296"/>
      <c r="P73" s="296"/>
      <c r="Q73" s="296"/>
      <c r="R73" s="296"/>
      <c r="S73" s="296"/>
      <c r="T73" s="296"/>
      <c r="U73" s="296"/>
      <c r="V73" s="296"/>
      <c r="W73" s="296"/>
      <c r="X73" s="296"/>
      <c r="Y73" s="296"/>
      <c r="Z73" s="296"/>
      <c r="AA73" s="296"/>
      <c r="AB73" s="296"/>
      <c r="AC73" s="297"/>
      <c r="AD73" s="25">
        <f t="shared" si="29"/>
        <v>314.86838436439575</v>
      </c>
    </row>
    <row r="74" spans="1:31" ht="13.5" customHeight="1" x14ac:dyDescent="0.15">
      <c r="A74" t="s">
        <v>273</v>
      </c>
      <c r="B74" s="42" t="s">
        <v>159</v>
      </c>
      <c r="C74" s="226"/>
      <c r="D74" s="6" t="s">
        <v>91</v>
      </c>
      <c r="E74" s="33"/>
      <c r="F74" s="33"/>
      <c r="G74" s="33"/>
      <c r="H74" s="33"/>
      <c r="I74" s="33"/>
      <c r="J74" s="33"/>
      <c r="K74" s="33"/>
      <c r="L74" s="33"/>
      <c r="M74" s="33"/>
      <c r="N74" s="33"/>
      <c r="O74" s="215">
        <f>$J$5*(P63)^$K$5/1000*(1+23.8/33.4)</f>
        <v>1309.2903135797353</v>
      </c>
      <c r="P74" s="46"/>
      <c r="Q74" s="27"/>
      <c r="R74" s="33"/>
      <c r="S74" s="33"/>
      <c r="T74" s="33"/>
      <c r="U74" s="33"/>
      <c r="V74" s="33"/>
      <c r="W74" s="33"/>
      <c r="X74" s="33"/>
      <c r="Y74" s="33"/>
      <c r="Z74" s="33"/>
      <c r="AA74" s="33"/>
      <c r="AB74" s="33"/>
      <c r="AC74" s="33"/>
      <c r="AD74" s="25">
        <f t="shared" si="29"/>
        <v>1309.2903135797353</v>
      </c>
      <c r="AE74" s="93"/>
    </row>
    <row r="75" spans="1:31" ht="13.5" customHeight="1" x14ac:dyDescent="0.15">
      <c r="A75" t="s">
        <v>281</v>
      </c>
      <c r="B75" s="254" t="s">
        <v>176</v>
      </c>
      <c r="C75" s="226"/>
      <c r="D75" s="9" t="s">
        <v>177</v>
      </c>
      <c r="E75" s="33"/>
      <c r="F75" s="33"/>
      <c r="G75" s="33"/>
      <c r="H75" s="33"/>
      <c r="I75" s="118">
        <f>L5*L6+N5*N6</f>
        <v>407</v>
      </c>
      <c r="J75" s="181"/>
      <c r="K75" s="33"/>
      <c r="L75" s="33"/>
      <c r="M75" s="33"/>
      <c r="N75" s="33"/>
      <c r="O75" s="33"/>
      <c r="P75" s="32"/>
      <c r="Q75" s="33"/>
      <c r="R75" s="33"/>
      <c r="S75" s="33"/>
      <c r="T75" s="33"/>
      <c r="U75" s="33"/>
      <c r="V75" s="33"/>
      <c r="W75" s="33"/>
      <c r="X75" s="33"/>
      <c r="Y75" s="33"/>
      <c r="Z75" s="33"/>
      <c r="AA75" s="33"/>
      <c r="AB75" s="33"/>
      <c r="AC75" s="33"/>
      <c r="AD75" s="25">
        <f t="shared" si="29"/>
        <v>407</v>
      </c>
    </row>
    <row r="76" spans="1:31" x14ac:dyDescent="0.15">
      <c r="A76" t="s">
        <v>282</v>
      </c>
      <c r="B76" s="255"/>
      <c r="C76" s="226"/>
      <c r="D76" s="9" t="s">
        <v>95</v>
      </c>
      <c r="E76" s="4"/>
      <c r="F76" s="4"/>
      <c r="G76" s="4"/>
      <c r="H76" s="4"/>
      <c r="I76" s="4"/>
      <c r="J76" s="119">
        <f>M5*M6+(O5*O6)/1000000</f>
        <v>2.5</v>
      </c>
      <c r="K76" s="34">
        <f>J76</f>
        <v>2.5</v>
      </c>
      <c r="L76" s="34">
        <f t="shared" ref="L76:AC76" si="30">K76</f>
        <v>2.5</v>
      </c>
      <c r="M76" s="34">
        <f t="shared" si="30"/>
        <v>2.5</v>
      </c>
      <c r="N76" s="34">
        <f t="shared" si="30"/>
        <v>2.5</v>
      </c>
      <c r="O76" s="34">
        <f t="shared" si="30"/>
        <v>2.5</v>
      </c>
      <c r="P76" s="34">
        <f t="shared" si="30"/>
        <v>2.5</v>
      </c>
      <c r="Q76" s="34">
        <f t="shared" si="30"/>
        <v>2.5</v>
      </c>
      <c r="R76" s="34">
        <f t="shared" si="30"/>
        <v>2.5</v>
      </c>
      <c r="S76" s="34">
        <f t="shared" si="30"/>
        <v>2.5</v>
      </c>
      <c r="T76" s="34">
        <f t="shared" si="30"/>
        <v>2.5</v>
      </c>
      <c r="U76" s="34">
        <f t="shared" si="30"/>
        <v>2.5</v>
      </c>
      <c r="V76" s="34">
        <f t="shared" si="30"/>
        <v>2.5</v>
      </c>
      <c r="W76" s="34">
        <f t="shared" si="30"/>
        <v>2.5</v>
      </c>
      <c r="X76" s="34">
        <f t="shared" si="30"/>
        <v>2.5</v>
      </c>
      <c r="Y76" s="34">
        <f t="shared" si="30"/>
        <v>2.5</v>
      </c>
      <c r="Z76" s="34">
        <f t="shared" si="30"/>
        <v>2.5</v>
      </c>
      <c r="AA76" s="34">
        <f t="shared" si="30"/>
        <v>2.5</v>
      </c>
      <c r="AB76" s="34">
        <f t="shared" si="30"/>
        <v>2.5</v>
      </c>
      <c r="AC76" s="34">
        <f t="shared" si="30"/>
        <v>2.5</v>
      </c>
      <c r="AD76" s="25">
        <f t="shared" si="29"/>
        <v>50</v>
      </c>
    </row>
    <row r="77" spans="1:31" x14ac:dyDescent="0.15">
      <c r="B77" s="9" t="s">
        <v>178</v>
      </c>
      <c r="C77" s="226"/>
      <c r="D77" s="11" t="s">
        <v>53</v>
      </c>
      <c r="E77" s="25">
        <f>SUM(E72:E76)</f>
        <v>174.12324999999998</v>
      </c>
      <c r="F77" s="25">
        <f t="shared" ref="F77:AC77" si="31">SUM(F72:F76)</f>
        <v>174.11175228856413</v>
      </c>
      <c r="G77" s="25">
        <f t="shared" si="31"/>
        <v>174.09792795779526</v>
      </c>
      <c r="H77" s="25">
        <f t="shared" si="31"/>
        <v>174.08174955281595</v>
      </c>
      <c r="I77" s="25">
        <f t="shared" si="31"/>
        <v>581.06312702602258</v>
      </c>
      <c r="J77" s="25">
        <f t="shared" si="31"/>
        <v>114.62292704634696</v>
      </c>
      <c r="K77" s="25">
        <f t="shared" si="31"/>
        <v>114.60526516767473</v>
      </c>
      <c r="L77" s="25">
        <f t="shared" si="31"/>
        <v>114.58569959811439</v>
      </c>
      <c r="M77" s="25">
        <f t="shared" si="31"/>
        <v>114.56418856613918</v>
      </c>
      <c r="N77" s="25">
        <f t="shared" si="31"/>
        <v>114.54068529660333</v>
      </c>
      <c r="O77" s="25">
        <f t="shared" si="31"/>
        <v>1423.8054512255865</v>
      </c>
      <c r="P77" s="25">
        <f t="shared" si="31"/>
        <v>80.773957999999993</v>
      </c>
      <c r="Q77" s="25">
        <f t="shared" si="31"/>
        <v>80.753117693586773</v>
      </c>
      <c r="R77" s="25">
        <f t="shared" si="31"/>
        <v>80.730713457827832</v>
      </c>
      <c r="S77" s="25">
        <f t="shared" si="31"/>
        <v>80.70669044333836</v>
      </c>
      <c r="T77" s="25">
        <f t="shared" si="31"/>
        <v>80.680988082270545</v>
      </c>
      <c r="U77" s="25">
        <f t="shared" si="31"/>
        <v>80.653539502558289</v>
      </c>
      <c r="V77" s="25">
        <f t="shared" si="31"/>
        <v>80.624270851985543</v>
      </c>
      <c r="W77" s="25">
        <f t="shared" si="31"/>
        <v>80.593100516073079</v>
      </c>
      <c r="X77" s="25">
        <f t="shared" si="31"/>
        <v>80.559938210253407</v>
      </c>
      <c r="Y77" s="25">
        <f t="shared" si="31"/>
        <v>80.524683922368482</v>
      </c>
      <c r="Z77" s="25">
        <f t="shared" si="31"/>
        <v>80.487226675917427</v>
      </c>
      <c r="AA77" s="25">
        <f t="shared" si="31"/>
        <v>80.447443077329382</v>
      </c>
      <c r="AB77" s="25">
        <f t="shared" si="31"/>
        <v>80.405195601341987</v>
      </c>
      <c r="AC77" s="25">
        <f t="shared" si="31"/>
        <v>80.360330556659591</v>
      </c>
      <c r="AD77" s="25">
        <f t="shared" si="29"/>
        <v>4402.5032203171731</v>
      </c>
    </row>
    <row r="78" spans="1:31" x14ac:dyDescent="0.15">
      <c r="A78" t="s">
        <v>275</v>
      </c>
      <c r="B78" s="4" t="s">
        <v>179</v>
      </c>
      <c r="C78" s="226"/>
      <c r="D78" s="11" t="s">
        <v>53</v>
      </c>
      <c r="E78" s="25">
        <f>E77</f>
        <v>174.12324999999998</v>
      </c>
      <c r="F78" s="25">
        <f t="shared" ref="F78:AC78" si="32">E78+F77</f>
        <v>348.23500228856415</v>
      </c>
      <c r="G78" s="25">
        <f t="shared" si="32"/>
        <v>522.33293024635941</v>
      </c>
      <c r="H78" s="25">
        <f t="shared" si="32"/>
        <v>696.41467979917536</v>
      </c>
      <c r="I78" s="25">
        <f t="shared" si="32"/>
        <v>1277.4778068251981</v>
      </c>
      <c r="J78" s="25">
        <f t="shared" si="32"/>
        <v>1392.1007338715451</v>
      </c>
      <c r="K78" s="25">
        <f t="shared" si="32"/>
        <v>1506.7059990392199</v>
      </c>
      <c r="L78" s="25">
        <f t="shared" si="32"/>
        <v>1621.2916986373343</v>
      </c>
      <c r="M78" s="25">
        <f t="shared" si="32"/>
        <v>1735.8558872034735</v>
      </c>
      <c r="N78" s="25">
        <f t="shared" si="32"/>
        <v>1850.3965725000767</v>
      </c>
      <c r="O78" s="25">
        <f t="shared" si="32"/>
        <v>3274.2020237256629</v>
      </c>
      <c r="P78" s="25">
        <f t="shared" si="32"/>
        <v>3354.9759817256627</v>
      </c>
      <c r="Q78" s="25">
        <f t="shared" si="32"/>
        <v>3435.7290994192495</v>
      </c>
      <c r="R78" s="25">
        <f t="shared" si="32"/>
        <v>3516.4598128770772</v>
      </c>
      <c r="S78" s="25">
        <f t="shared" si="32"/>
        <v>3597.1665033204154</v>
      </c>
      <c r="T78" s="25">
        <f t="shared" si="32"/>
        <v>3677.847491402686</v>
      </c>
      <c r="U78" s="25">
        <f t="shared" si="32"/>
        <v>3758.5010309052445</v>
      </c>
      <c r="V78" s="25">
        <f t="shared" si="32"/>
        <v>3839.1253017572299</v>
      </c>
      <c r="W78" s="25">
        <f t="shared" si="32"/>
        <v>3919.7184022733031</v>
      </c>
      <c r="X78" s="25">
        <f t="shared" si="32"/>
        <v>4000.2783404835563</v>
      </c>
      <c r="Y78" s="25">
        <f t="shared" si="32"/>
        <v>4080.803024405925</v>
      </c>
      <c r="Z78" s="25">
        <f t="shared" si="32"/>
        <v>4161.2902510818421</v>
      </c>
      <c r="AA78" s="25">
        <f t="shared" si="32"/>
        <v>4241.737694159172</v>
      </c>
      <c r="AB78" s="25">
        <f t="shared" si="32"/>
        <v>4322.1428897605138</v>
      </c>
      <c r="AC78" s="25">
        <f t="shared" si="32"/>
        <v>4402.5032203171731</v>
      </c>
      <c r="AD78" s="28">
        <f>AD77/COUNTA(E62:AC62)</f>
        <v>176.10012881268693</v>
      </c>
    </row>
    <row r="79" spans="1:31" x14ac:dyDescent="0.15">
      <c r="B79" t="s">
        <v>153</v>
      </c>
      <c r="C79" t="s">
        <v>180</v>
      </c>
      <c r="AD79" s="29" t="s">
        <v>163</v>
      </c>
    </row>
    <row r="80" spans="1:31" x14ac:dyDescent="0.15">
      <c r="B80" t="s">
        <v>154</v>
      </c>
      <c r="C80" t="s">
        <v>165</v>
      </c>
    </row>
    <row r="81" spans="2:3" x14ac:dyDescent="0.15">
      <c r="B81" t="s">
        <v>155</v>
      </c>
      <c r="C81" t="s">
        <v>166</v>
      </c>
    </row>
    <row r="82" spans="2:3" x14ac:dyDescent="0.15">
      <c r="B82" s="18" t="s">
        <v>156</v>
      </c>
      <c r="C82" s="19" t="s">
        <v>167</v>
      </c>
    </row>
    <row r="83" spans="2:3" ht="15.75" x14ac:dyDescent="0.15">
      <c r="B83" s="20" t="s">
        <v>157</v>
      </c>
      <c r="C83" s="184" t="s">
        <v>261</v>
      </c>
    </row>
    <row r="84" spans="2:3" x14ac:dyDescent="0.15">
      <c r="B84" s="18" t="s">
        <v>159</v>
      </c>
      <c r="C84" s="185" t="s">
        <v>262</v>
      </c>
    </row>
    <row r="85" spans="2:3" x14ac:dyDescent="0.15">
      <c r="B85" s="18" t="s">
        <v>176</v>
      </c>
      <c r="C85" s="19" t="s">
        <v>181</v>
      </c>
    </row>
    <row r="86" spans="2:3" x14ac:dyDescent="0.15">
      <c r="B86" t="s">
        <v>178</v>
      </c>
      <c r="C86" s="186" t="s">
        <v>263</v>
      </c>
    </row>
    <row r="87" spans="2:3" x14ac:dyDescent="0.15">
      <c r="B87" t="s">
        <v>179</v>
      </c>
      <c r="C87" s="19" t="s">
        <v>169</v>
      </c>
    </row>
    <row r="88" spans="2:3" outlineLevel="1" x14ac:dyDescent="0.15"/>
    <row r="89" spans="2:3" outlineLevel="1" x14ac:dyDescent="0.15"/>
    <row r="90" spans="2:3" outlineLevel="1" x14ac:dyDescent="0.15"/>
    <row r="91" spans="2:3" outlineLevel="1" x14ac:dyDescent="0.15"/>
    <row r="92" spans="2:3" outlineLevel="1" x14ac:dyDescent="0.15"/>
    <row r="93" spans="2:3" outlineLevel="1" x14ac:dyDescent="0.15"/>
    <row r="94" spans="2:3" outlineLevel="1" x14ac:dyDescent="0.15"/>
    <row r="95" spans="2:3" outlineLevel="1" x14ac:dyDescent="0.15"/>
    <row r="96" spans="2:3" outlineLevel="1" x14ac:dyDescent="0.15"/>
    <row r="97" outlineLevel="1" x14ac:dyDescent="0.15"/>
    <row r="98" outlineLevel="1" x14ac:dyDescent="0.15"/>
    <row r="99" outlineLevel="1" x14ac:dyDescent="0.15"/>
    <row r="100" outlineLevel="1" x14ac:dyDescent="0.15"/>
    <row r="101" outlineLevel="1" x14ac:dyDescent="0.15"/>
    <row r="102" outlineLevel="1" x14ac:dyDescent="0.15"/>
    <row r="103" outlineLevel="1" x14ac:dyDescent="0.15"/>
    <row r="104" outlineLevel="1" x14ac:dyDescent="0.15"/>
    <row r="105" outlineLevel="1" x14ac:dyDescent="0.15"/>
    <row r="106" outlineLevel="1" x14ac:dyDescent="0.15"/>
    <row r="113" spans="2:35" s="15" customFormat="1" ht="18.75" x14ac:dyDescent="0.15">
      <c r="F113" s="15" t="s">
        <v>182</v>
      </c>
    </row>
    <row r="115" spans="2:35" x14ac:dyDescent="0.15">
      <c r="B115" s="6" t="s">
        <v>43</v>
      </c>
      <c r="C115" s="6" t="s">
        <v>2</v>
      </c>
      <c r="D115" s="6" t="s">
        <v>127</v>
      </c>
      <c r="E115" s="24">
        <v>1</v>
      </c>
      <c r="F115" s="24">
        <v>2</v>
      </c>
      <c r="G115" s="24">
        <v>3</v>
      </c>
      <c r="H115" s="24">
        <v>4</v>
      </c>
      <c r="I115" s="24">
        <v>5</v>
      </c>
      <c r="J115" s="24">
        <v>6</v>
      </c>
      <c r="K115" s="24">
        <v>7</v>
      </c>
      <c r="L115" s="24">
        <v>8</v>
      </c>
      <c r="M115" s="24">
        <v>9</v>
      </c>
      <c r="N115" s="24">
        <v>10</v>
      </c>
      <c r="O115" s="24">
        <v>11</v>
      </c>
      <c r="P115" s="24">
        <v>12</v>
      </c>
      <c r="Q115" s="24">
        <v>13</v>
      </c>
      <c r="R115" s="24">
        <v>14</v>
      </c>
      <c r="S115" s="24">
        <v>15</v>
      </c>
      <c r="T115" s="24">
        <v>16</v>
      </c>
      <c r="U115" s="24">
        <v>17</v>
      </c>
      <c r="V115" s="24">
        <v>18</v>
      </c>
      <c r="W115" s="24">
        <v>19</v>
      </c>
      <c r="X115" s="24">
        <v>20</v>
      </c>
      <c r="Y115" s="24">
        <v>21</v>
      </c>
      <c r="Z115" s="24">
        <v>22</v>
      </c>
      <c r="AA115" s="24">
        <v>23</v>
      </c>
      <c r="AB115" s="24">
        <v>24</v>
      </c>
      <c r="AC115" s="24">
        <v>25</v>
      </c>
      <c r="AD115" s="6" t="s">
        <v>126</v>
      </c>
    </row>
    <row r="116" spans="2:35" ht="27" x14ac:dyDescent="0.15">
      <c r="B116" s="252" t="s">
        <v>153</v>
      </c>
      <c r="C116" s="220" t="s">
        <v>128</v>
      </c>
      <c r="D116" s="13" t="s">
        <v>91</v>
      </c>
      <c r="E116" s="24">
        <f t="shared" ref="E116:AC116" si="33">E11</f>
        <v>9000</v>
      </c>
      <c r="F116" s="24">
        <f t="shared" si="33"/>
        <v>9000</v>
      </c>
      <c r="G116" s="24">
        <f t="shared" si="33"/>
        <v>9000</v>
      </c>
      <c r="H116" s="24">
        <f t="shared" si="33"/>
        <v>9000</v>
      </c>
      <c r="I116" s="24">
        <f t="shared" si="33"/>
        <v>9000</v>
      </c>
      <c r="J116" s="24">
        <f t="shared" si="33"/>
        <v>9000</v>
      </c>
      <c r="K116" s="24">
        <f t="shared" si="33"/>
        <v>9000</v>
      </c>
      <c r="L116" s="24">
        <f t="shared" si="33"/>
        <v>9000</v>
      </c>
      <c r="M116" s="24">
        <f t="shared" si="33"/>
        <v>9000</v>
      </c>
      <c r="N116" s="24">
        <f t="shared" si="33"/>
        <v>9000</v>
      </c>
      <c r="O116" s="24">
        <f t="shared" si="33"/>
        <v>9000</v>
      </c>
      <c r="P116" s="24">
        <f t="shared" si="33"/>
        <v>5500</v>
      </c>
      <c r="Q116" s="24">
        <f t="shared" si="33"/>
        <v>5500</v>
      </c>
      <c r="R116" s="24">
        <f t="shared" si="33"/>
        <v>5500</v>
      </c>
      <c r="S116" s="24">
        <f t="shared" si="33"/>
        <v>5500</v>
      </c>
      <c r="T116" s="24">
        <f t="shared" si="33"/>
        <v>5500</v>
      </c>
      <c r="U116" s="24">
        <f t="shared" si="33"/>
        <v>5500</v>
      </c>
      <c r="V116" s="24">
        <f t="shared" si="33"/>
        <v>5500</v>
      </c>
      <c r="W116" s="24">
        <f t="shared" si="33"/>
        <v>5500</v>
      </c>
      <c r="X116" s="24">
        <f t="shared" si="33"/>
        <v>5500</v>
      </c>
      <c r="Y116" s="24">
        <f t="shared" si="33"/>
        <v>5500</v>
      </c>
      <c r="Z116" s="24">
        <f t="shared" si="33"/>
        <v>5500</v>
      </c>
      <c r="AA116" s="24">
        <f t="shared" si="33"/>
        <v>5500</v>
      </c>
      <c r="AB116" s="24">
        <f t="shared" si="33"/>
        <v>5500</v>
      </c>
      <c r="AC116" s="24">
        <f t="shared" si="33"/>
        <v>5500</v>
      </c>
      <c r="AD116" s="6" t="s">
        <v>53</v>
      </c>
    </row>
    <row r="117" spans="2:35" ht="24" x14ac:dyDescent="0.15">
      <c r="B117" s="252"/>
      <c r="C117" s="220"/>
      <c r="D117" s="122" t="s">
        <v>183</v>
      </c>
      <c r="E117" s="123">
        <v>200</v>
      </c>
      <c r="F117" s="123">
        <v>200</v>
      </c>
      <c r="G117" s="123">
        <v>200</v>
      </c>
      <c r="H117" s="123">
        <v>200</v>
      </c>
      <c r="I117" s="123">
        <v>200</v>
      </c>
      <c r="J117" s="123">
        <v>200</v>
      </c>
      <c r="K117" s="123">
        <v>200</v>
      </c>
      <c r="L117" s="123">
        <v>200</v>
      </c>
      <c r="M117" s="123">
        <v>200</v>
      </c>
      <c r="N117" s="123">
        <v>200</v>
      </c>
      <c r="O117" s="123">
        <v>200</v>
      </c>
      <c r="P117" s="123">
        <f>+CEILING(P123/0.7,50)</f>
        <v>150</v>
      </c>
      <c r="Q117" s="123">
        <f>+P117</f>
        <v>150</v>
      </c>
      <c r="R117" s="123">
        <f>+Q117</f>
        <v>150</v>
      </c>
      <c r="S117" s="123">
        <f t="shared" ref="S117:AC117" si="34">+R117</f>
        <v>150</v>
      </c>
      <c r="T117" s="123">
        <f t="shared" si="34"/>
        <v>150</v>
      </c>
      <c r="U117" s="123">
        <f t="shared" si="34"/>
        <v>150</v>
      </c>
      <c r="V117" s="123">
        <f t="shared" si="34"/>
        <v>150</v>
      </c>
      <c r="W117" s="123">
        <f t="shared" si="34"/>
        <v>150</v>
      </c>
      <c r="X117" s="123">
        <f t="shared" si="34"/>
        <v>150</v>
      </c>
      <c r="Y117" s="123">
        <f t="shared" si="34"/>
        <v>150</v>
      </c>
      <c r="Z117" s="123">
        <f t="shared" si="34"/>
        <v>150</v>
      </c>
      <c r="AA117" s="123">
        <f t="shared" si="34"/>
        <v>150</v>
      </c>
      <c r="AB117" s="123">
        <f t="shared" si="34"/>
        <v>150</v>
      </c>
      <c r="AC117" s="123">
        <f t="shared" si="34"/>
        <v>150</v>
      </c>
      <c r="AD117" s="6" t="s">
        <v>53</v>
      </c>
    </row>
    <row r="118" spans="2:35" x14ac:dyDescent="0.15">
      <c r="B118" s="252"/>
      <c r="C118" s="220"/>
      <c r="D118" s="6" t="s">
        <v>93</v>
      </c>
      <c r="E118" s="24">
        <f t="shared" ref="E118:AC118" si="35">E12</f>
        <v>4700</v>
      </c>
      <c r="F118" s="24">
        <f t="shared" si="35"/>
        <v>4700</v>
      </c>
      <c r="G118" s="24">
        <f t="shared" si="35"/>
        <v>4700</v>
      </c>
      <c r="H118" s="24">
        <f t="shared" si="35"/>
        <v>4700</v>
      </c>
      <c r="I118" s="24">
        <f t="shared" si="35"/>
        <v>4700</v>
      </c>
      <c r="J118" s="24">
        <f t="shared" si="35"/>
        <v>3000</v>
      </c>
      <c r="K118" s="24">
        <f t="shared" si="35"/>
        <v>3000</v>
      </c>
      <c r="L118" s="24">
        <f t="shared" si="35"/>
        <v>3000</v>
      </c>
      <c r="M118" s="24">
        <f t="shared" si="35"/>
        <v>3000</v>
      </c>
      <c r="N118" s="24">
        <f t="shared" si="35"/>
        <v>3000</v>
      </c>
      <c r="O118" s="24">
        <f t="shared" si="35"/>
        <v>3000</v>
      </c>
      <c r="P118" s="24">
        <f t="shared" si="35"/>
        <v>3000</v>
      </c>
      <c r="Q118" s="24">
        <f t="shared" si="35"/>
        <v>3000</v>
      </c>
      <c r="R118" s="24">
        <f t="shared" si="35"/>
        <v>3000</v>
      </c>
      <c r="S118" s="24">
        <f t="shared" si="35"/>
        <v>3000</v>
      </c>
      <c r="T118" s="24">
        <f t="shared" si="35"/>
        <v>3000</v>
      </c>
      <c r="U118" s="24">
        <f t="shared" si="35"/>
        <v>3000</v>
      </c>
      <c r="V118" s="24">
        <f t="shared" si="35"/>
        <v>3000</v>
      </c>
      <c r="W118" s="24">
        <f t="shared" si="35"/>
        <v>3000</v>
      </c>
      <c r="X118" s="24">
        <f t="shared" si="35"/>
        <v>3000</v>
      </c>
      <c r="Y118" s="24">
        <f t="shared" si="35"/>
        <v>3000</v>
      </c>
      <c r="Z118" s="24">
        <f t="shared" si="35"/>
        <v>3000</v>
      </c>
      <c r="AA118" s="24">
        <f t="shared" si="35"/>
        <v>3000</v>
      </c>
      <c r="AB118" s="24">
        <f t="shared" si="35"/>
        <v>3000</v>
      </c>
      <c r="AC118" s="24">
        <f t="shared" si="35"/>
        <v>3000</v>
      </c>
      <c r="AD118" s="6" t="s">
        <v>53</v>
      </c>
    </row>
    <row r="119" spans="2:35" ht="13.5" customHeight="1" x14ac:dyDescent="0.15">
      <c r="B119" s="253" t="s">
        <v>184</v>
      </c>
      <c r="C119" s="228" t="s">
        <v>173</v>
      </c>
      <c r="D119" s="6" t="s">
        <v>91</v>
      </c>
      <c r="E119" s="25">
        <f t="shared" ref="E119:AC119" si="36">E13</f>
        <v>4060</v>
      </c>
      <c r="F119" s="25">
        <f t="shared" si="36"/>
        <v>4046.37</v>
      </c>
      <c r="G119" s="25">
        <f t="shared" si="36"/>
        <v>4030.13</v>
      </c>
      <c r="H119" s="25">
        <f t="shared" si="36"/>
        <v>4011.28</v>
      </c>
      <c r="I119" s="25">
        <f t="shared" si="36"/>
        <v>3989.53</v>
      </c>
      <c r="J119" s="25">
        <f t="shared" si="36"/>
        <v>3965.17</v>
      </c>
      <c r="K119" s="25">
        <f t="shared" si="36"/>
        <v>3938.2</v>
      </c>
      <c r="L119" s="25">
        <f t="shared" si="36"/>
        <v>3908.33</v>
      </c>
      <c r="M119" s="25">
        <f t="shared" si="36"/>
        <v>3875.85</v>
      </c>
      <c r="N119" s="25">
        <f t="shared" si="36"/>
        <v>3840.76</v>
      </c>
      <c r="O119" s="25">
        <f t="shared" si="36"/>
        <v>3802.77</v>
      </c>
      <c r="P119" s="25">
        <f t="shared" si="36"/>
        <v>3762.17</v>
      </c>
      <c r="Q119" s="25">
        <f t="shared" si="36"/>
        <v>3718.96</v>
      </c>
      <c r="R119" s="25">
        <f t="shared" si="36"/>
        <v>3672.85</v>
      </c>
      <c r="S119" s="25">
        <f t="shared" si="36"/>
        <v>3624.13</v>
      </c>
      <c r="T119" s="25">
        <f t="shared" si="36"/>
        <v>3572.8</v>
      </c>
      <c r="U119" s="25">
        <f t="shared" si="36"/>
        <v>3518.57</v>
      </c>
      <c r="V119" s="25">
        <f t="shared" si="36"/>
        <v>3461.73</v>
      </c>
      <c r="W119" s="25">
        <f t="shared" si="36"/>
        <v>3402.28</v>
      </c>
      <c r="X119" s="25">
        <f t="shared" si="36"/>
        <v>3339.93</v>
      </c>
      <c r="Y119" s="25">
        <f t="shared" si="36"/>
        <v>3274.97</v>
      </c>
      <c r="Z119" s="25">
        <f t="shared" si="36"/>
        <v>3207.4</v>
      </c>
      <c r="AA119" s="25">
        <f t="shared" si="36"/>
        <v>3136.93</v>
      </c>
      <c r="AB119" s="25">
        <f t="shared" si="36"/>
        <v>3063.85</v>
      </c>
      <c r="AC119" s="25">
        <f t="shared" si="36"/>
        <v>2988.16</v>
      </c>
      <c r="AD119" s="6" t="s">
        <v>53</v>
      </c>
    </row>
    <row r="120" spans="2:35" x14ac:dyDescent="0.15">
      <c r="B120" s="253"/>
      <c r="C120" s="267"/>
      <c r="D120" s="6" t="s">
        <v>93</v>
      </c>
      <c r="E120" s="25">
        <f t="shared" ref="E120:AC120" si="37">E14</f>
        <v>2030</v>
      </c>
      <c r="F120" s="25">
        <f t="shared" si="37"/>
        <v>2023.33</v>
      </c>
      <c r="G120" s="25">
        <f t="shared" si="37"/>
        <v>2015.21</v>
      </c>
      <c r="H120" s="25">
        <f t="shared" si="37"/>
        <v>2005.64</v>
      </c>
      <c r="I120" s="25">
        <f t="shared" si="37"/>
        <v>1994.91</v>
      </c>
      <c r="J120" s="25">
        <f t="shared" si="37"/>
        <v>1982.73</v>
      </c>
      <c r="K120" s="25">
        <f t="shared" si="37"/>
        <v>1969.1</v>
      </c>
      <c r="L120" s="25">
        <f t="shared" si="37"/>
        <v>1954.31</v>
      </c>
      <c r="M120" s="25">
        <f t="shared" si="37"/>
        <v>1938.07</v>
      </c>
      <c r="N120" s="25">
        <f t="shared" si="37"/>
        <v>1920.38</v>
      </c>
      <c r="O120" s="25">
        <f t="shared" si="37"/>
        <v>1901.53</v>
      </c>
      <c r="P120" s="25">
        <f t="shared" si="37"/>
        <v>1881.23</v>
      </c>
      <c r="Q120" s="25">
        <f t="shared" si="37"/>
        <v>1859.48</v>
      </c>
      <c r="R120" s="25">
        <f t="shared" si="37"/>
        <v>1836.57</v>
      </c>
      <c r="S120" s="25">
        <f t="shared" si="37"/>
        <v>1812.21</v>
      </c>
      <c r="T120" s="25">
        <f t="shared" si="37"/>
        <v>1786.4</v>
      </c>
      <c r="U120" s="25">
        <f t="shared" si="37"/>
        <v>1759.43</v>
      </c>
      <c r="V120" s="25">
        <f t="shared" si="37"/>
        <v>1731.01</v>
      </c>
      <c r="W120" s="25">
        <f t="shared" si="37"/>
        <v>1701.14</v>
      </c>
      <c r="X120" s="25">
        <f t="shared" si="37"/>
        <v>1670.11</v>
      </c>
      <c r="Y120" s="25">
        <f t="shared" si="37"/>
        <v>1637.63</v>
      </c>
      <c r="Z120" s="25">
        <f t="shared" si="37"/>
        <v>1603.7</v>
      </c>
      <c r="AA120" s="25">
        <f t="shared" si="37"/>
        <v>1568.61</v>
      </c>
      <c r="AB120" s="25">
        <f t="shared" si="37"/>
        <v>1532.07</v>
      </c>
      <c r="AC120" s="25">
        <f t="shared" si="37"/>
        <v>1494.08</v>
      </c>
      <c r="AD120" s="6" t="s">
        <v>53</v>
      </c>
    </row>
    <row r="121" spans="2:35" ht="13.5" customHeight="1" x14ac:dyDescent="0.15">
      <c r="B121" s="257" t="s">
        <v>185</v>
      </c>
      <c r="C121" s="267"/>
      <c r="D121" s="6" t="s">
        <v>91</v>
      </c>
      <c r="E121" s="27">
        <f t="shared" ref="E121:AC121" si="38">ROUND((E119*$AH$121/1000000*$AH$122/100*$AH$124/100)/($AH$126/100),0)</f>
        <v>69</v>
      </c>
      <c r="F121" s="27">
        <f t="shared" si="38"/>
        <v>69</v>
      </c>
      <c r="G121" s="27">
        <f t="shared" si="38"/>
        <v>69</v>
      </c>
      <c r="H121" s="27">
        <f t="shared" si="38"/>
        <v>69</v>
      </c>
      <c r="I121" s="27">
        <f t="shared" si="38"/>
        <v>68</v>
      </c>
      <c r="J121" s="25">
        <f t="shared" si="38"/>
        <v>68</v>
      </c>
      <c r="K121" s="25">
        <f t="shared" si="38"/>
        <v>67</v>
      </c>
      <c r="L121" s="25">
        <f t="shared" si="38"/>
        <v>67</v>
      </c>
      <c r="M121" s="25">
        <f t="shared" si="38"/>
        <v>66</v>
      </c>
      <c r="N121" s="25">
        <f t="shared" si="38"/>
        <v>66</v>
      </c>
      <c r="O121" s="25">
        <f t="shared" si="38"/>
        <v>65</v>
      </c>
      <c r="P121" s="25">
        <f t="shared" si="38"/>
        <v>64</v>
      </c>
      <c r="Q121" s="25">
        <f t="shared" si="38"/>
        <v>64</v>
      </c>
      <c r="R121" s="25">
        <f t="shared" si="38"/>
        <v>63</v>
      </c>
      <c r="S121" s="25">
        <f t="shared" si="38"/>
        <v>62</v>
      </c>
      <c r="T121" s="25">
        <f t="shared" si="38"/>
        <v>61</v>
      </c>
      <c r="U121" s="25">
        <f t="shared" si="38"/>
        <v>60</v>
      </c>
      <c r="V121" s="25">
        <f t="shared" si="38"/>
        <v>59</v>
      </c>
      <c r="W121" s="25">
        <f t="shared" si="38"/>
        <v>58</v>
      </c>
      <c r="X121" s="25">
        <f t="shared" si="38"/>
        <v>57</v>
      </c>
      <c r="Y121" s="25">
        <f t="shared" si="38"/>
        <v>56</v>
      </c>
      <c r="Z121" s="25">
        <f t="shared" si="38"/>
        <v>55</v>
      </c>
      <c r="AA121" s="25">
        <f t="shared" si="38"/>
        <v>54</v>
      </c>
      <c r="AB121" s="25">
        <f t="shared" si="38"/>
        <v>52</v>
      </c>
      <c r="AC121" s="25">
        <f t="shared" si="38"/>
        <v>51</v>
      </c>
      <c r="AD121" s="6"/>
      <c r="AG121" s="126" t="s">
        <v>111</v>
      </c>
      <c r="AH121" s="126">
        <v>180</v>
      </c>
      <c r="AI121" t="s">
        <v>112</v>
      </c>
    </row>
    <row r="122" spans="2:35" x14ac:dyDescent="0.15">
      <c r="B122" s="258"/>
      <c r="C122" s="267"/>
      <c r="D122" s="6" t="s">
        <v>93</v>
      </c>
      <c r="E122" s="27">
        <f t="shared" ref="E122:AC122" si="39">ROUND((E120*$AH$121/1000000*$AH$122/100*$AH$125/100)/($AH$126/100),0)</f>
        <v>26</v>
      </c>
      <c r="F122" s="27">
        <f t="shared" si="39"/>
        <v>26</v>
      </c>
      <c r="G122" s="27">
        <f t="shared" si="39"/>
        <v>26</v>
      </c>
      <c r="H122" s="27">
        <f t="shared" si="39"/>
        <v>26</v>
      </c>
      <c r="I122" s="27">
        <f t="shared" si="39"/>
        <v>26</v>
      </c>
      <c r="J122" s="38">
        <f t="shared" si="39"/>
        <v>25</v>
      </c>
      <c r="K122" s="25">
        <f t="shared" si="39"/>
        <v>25</v>
      </c>
      <c r="L122" s="25">
        <f t="shared" si="39"/>
        <v>25</v>
      </c>
      <c r="M122" s="25">
        <f t="shared" si="39"/>
        <v>25</v>
      </c>
      <c r="N122" s="25">
        <f t="shared" si="39"/>
        <v>25</v>
      </c>
      <c r="O122" s="25">
        <f t="shared" si="39"/>
        <v>24</v>
      </c>
      <c r="P122" s="25">
        <f t="shared" si="39"/>
        <v>24</v>
      </c>
      <c r="Q122" s="25">
        <f t="shared" si="39"/>
        <v>24</v>
      </c>
      <c r="R122" s="25">
        <f t="shared" si="39"/>
        <v>24</v>
      </c>
      <c r="S122" s="25">
        <f t="shared" si="39"/>
        <v>23</v>
      </c>
      <c r="T122" s="25">
        <f t="shared" si="39"/>
        <v>23</v>
      </c>
      <c r="U122" s="25">
        <f t="shared" si="39"/>
        <v>23</v>
      </c>
      <c r="V122" s="25">
        <f t="shared" si="39"/>
        <v>22</v>
      </c>
      <c r="W122" s="25">
        <f t="shared" si="39"/>
        <v>22</v>
      </c>
      <c r="X122" s="25">
        <f t="shared" si="39"/>
        <v>21</v>
      </c>
      <c r="Y122" s="25">
        <f t="shared" si="39"/>
        <v>21</v>
      </c>
      <c r="Z122" s="25">
        <f t="shared" si="39"/>
        <v>21</v>
      </c>
      <c r="AA122" s="25">
        <f t="shared" si="39"/>
        <v>20</v>
      </c>
      <c r="AB122" s="25">
        <f t="shared" si="39"/>
        <v>20</v>
      </c>
      <c r="AC122" s="25">
        <f t="shared" si="39"/>
        <v>19</v>
      </c>
      <c r="AD122" s="6"/>
      <c r="AG122" s="126" t="s">
        <v>114</v>
      </c>
      <c r="AH122" s="126">
        <v>95</v>
      </c>
      <c r="AI122" t="s">
        <v>8</v>
      </c>
    </row>
    <row r="123" spans="2:35" ht="40.5" x14ac:dyDescent="0.15">
      <c r="B123" s="263"/>
      <c r="C123" s="268"/>
      <c r="D123" s="13" t="s">
        <v>175</v>
      </c>
      <c r="E123" s="27">
        <f>SUM(E121:E122)</f>
        <v>95</v>
      </c>
      <c r="F123" s="27">
        <f t="shared" ref="F123:AC123" si="40">SUM(F121:F122)</f>
        <v>95</v>
      </c>
      <c r="G123" s="27">
        <f t="shared" si="40"/>
        <v>95</v>
      </c>
      <c r="H123" s="27">
        <f t="shared" si="40"/>
        <v>95</v>
      </c>
      <c r="I123" s="27">
        <f t="shared" si="40"/>
        <v>94</v>
      </c>
      <c r="J123" s="25">
        <f t="shared" si="40"/>
        <v>93</v>
      </c>
      <c r="K123" s="25">
        <f t="shared" si="40"/>
        <v>92</v>
      </c>
      <c r="L123" s="25">
        <f t="shared" si="40"/>
        <v>92</v>
      </c>
      <c r="M123" s="25">
        <f t="shared" si="40"/>
        <v>91</v>
      </c>
      <c r="N123" s="25">
        <f t="shared" si="40"/>
        <v>91</v>
      </c>
      <c r="O123" s="25">
        <f t="shared" si="40"/>
        <v>89</v>
      </c>
      <c r="P123" s="25">
        <f t="shared" si="40"/>
        <v>88</v>
      </c>
      <c r="Q123" s="25">
        <f t="shared" si="40"/>
        <v>88</v>
      </c>
      <c r="R123" s="25">
        <f t="shared" si="40"/>
        <v>87</v>
      </c>
      <c r="S123" s="25">
        <f t="shared" si="40"/>
        <v>85</v>
      </c>
      <c r="T123" s="25">
        <f t="shared" si="40"/>
        <v>84</v>
      </c>
      <c r="U123" s="25">
        <f t="shared" si="40"/>
        <v>83</v>
      </c>
      <c r="V123" s="25">
        <f t="shared" si="40"/>
        <v>81</v>
      </c>
      <c r="W123" s="25">
        <f t="shared" si="40"/>
        <v>80</v>
      </c>
      <c r="X123" s="25">
        <f t="shared" si="40"/>
        <v>78</v>
      </c>
      <c r="Y123" s="25">
        <f t="shared" si="40"/>
        <v>77</v>
      </c>
      <c r="Z123" s="25">
        <f t="shared" si="40"/>
        <v>76</v>
      </c>
      <c r="AA123" s="25">
        <f t="shared" si="40"/>
        <v>74</v>
      </c>
      <c r="AB123" s="25">
        <f t="shared" si="40"/>
        <v>72</v>
      </c>
      <c r="AC123" s="25">
        <f t="shared" si="40"/>
        <v>70</v>
      </c>
      <c r="AD123" s="6" t="s">
        <v>53</v>
      </c>
    </row>
    <row r="124" spans="2:35" x14ac:dyDescent="0.15">
      <c r="B124" s="252" t="s">
        <v>155</v>
      </c>
      <c r="C124" s="221" t="s">
        <v>8</v>
      </c>
      <c r="D124" s="6" t="s">
        <v>91</v>
      </c>
      <c r="E124" s="31">
        <f t="shared" ref="E124:AC124" si="41">E119/E116</f>
        <v>0.45111111111111113</v>
      </c>
      <c r="F124" s="31">
        <f t="shared" si="41"/>
        <v>0.44959666666666664</v>
      </c>
      <c r="G124" s="31">
        <f t="shared" si="41"/>
        <v>0.44779222222222226</v>
      </c>
      <c r="H124" s="31">
        <f t="shared" si="41"/>
        <v>0.4456977777777778</v>
      </c>
      <c r="I124" s="31">
        <f t="shared" si="41"/>
        <v>0.44328111111111113</v>
      </c>
      <c r="J124" s="31">
        <f t="shared" si="41"/>
        <v>0.44057444444444444</v>
      </c>
      <c r="K124" s="31">
        <f t="shared" si="41"/>
        <v>0.43757777777777773</v>
      </c>
      <c r="L124" s="31">
        <f t="shared" si="41"/>
        <v>0.43425888888888886</v>
      </c>
      <c r="M124" s="31">
        <f t="shared" si="41"/>
        <v>0.43064999999999998</v>
      </c>
      <c r="N124" s="31">
        <f t="shared" si="41"/>
        <v>0.42675111111111114</v>
      </c>
      <c r="O124" s="31">
        <f t="shared" si="41"/>
        <v>0.42253000000000002</v>
      </c>
      <c r="P124" s="31">
        <f t="shared" si="41"/>
        <v>0.68403090909090913</v>
      </c>
      <c r="Q124" s="31">
        <f t="shared" si="41"/>
        <v>0.67617454545454547</v>
      </c>
      <c r="R124" s="31">
        <f t="shared" si="41"/>
        <v>0.6677909090909091</v>
      </c>
      <c r="S124" s="31">
        <f t="shared" si="41"/>
        <v>0.65893272727272734</v>
      </c>
      <c r="T124" s="31">
        <f t="shared" si="41"/>
        <v>0.64960000000000007</v>
      </c>
      <c r="U124" s="31">
        <f t="shared" si="41"/>
        <v>0.63973999999999998</v>
      </c>
      <c r="V124" s="31">
        <f t="shared" si="41"/>
        <v>0.6294054545454546</v>
      </c>
      <c r="W124" s="31">
        <f t="shared" si="41"/>
        <v>0.61859636363636372</v>
      </c>
      <c r="X124" s="31">
        <f t="shared" si="41"/>
        <v>0.60726000000000002</v>
      </c>
      <c r="Y124" s="31">
        <f t="shared" si="41"/>
        <v>0.59544909090909093</v>
      </c>
      <c r="Z124" s="31">
        <f t="shared" si="41"/>
        <v>0.58316363636363633</v>
      </c>
      <c r="AA124" s="31">
        <f t="shared" si="41"/>
        <v>0.57035090909090902</v>
      </c>
      <c r="AB124" s="31">
        <f t="shared" si="41"/>
        <v>0.55706363636363632</v>
      </c>
      <c r="AC124" s="31">
        <f t="shared" si="41"/>
        <v>0.54330181818181811</v>
      </c>
      <c r="AD124" s="6" t="s">
        <v>53</v>
      </c>
      <c r="AG124" s="126" t="s">
        <v>115</v>
      </c>
      <c r="AH124" s="126">
        <v>100</v>
      </c>
      <c r="AI124" t="s">
        <v>8</v>
      </c>
    </row>
    <row r="125" spans="2:35" x14ac:dyDescent="0.15">
      <c r="B125" s="252"/>
      <c r="C125" s="223"/>
      <c r="D125" s="6" t="s">
        <v>93</v>
      </c>
      <c r="E125" s="31">
        <f t="shared" ref="E125:I125" si="42">E120/E118</f>
        <v>0.43191489361702129</v>
      </c>
      <c r="F125" s="31">
        <f t="shared" si="42"/>
        <v>0.43049574468085106</v>
      </c>
      <c r="G125" s="31">
        <f t="shared" si="42"/>
        <v>0.42876808510638298</v>
      </c>
      <c r="H125" s="31">
        <f t="shared" si="42"/>
        <v>0.42673191489361706</v>
      </c>
      <c r="I125" s="31">
        <f t="shared" si="42"/>
        <v>0.42444893617021279</v>
      </c>
      <c r="J125" s="31">
        <f t="shared" ref="J125:AC125" si="43">J120/J118</f>
        <v>0.66091</v>
      </c>
      <c r="K125" s="31">
        <f t="shared" si="43"/>
        <v>0.65636666666666665</v>
      </c>
      <c r="L125" s="31">
        <f t="shared" si="43"/>
        <v>0.65143666666666666</v>
      </c>
      <c r="M125" s="31">
        <f t="shared" si="43"/>
        <v>0.64602333333333328</v>
      </c>
      <c r="N125" s="31">
        <f t="shared" si="43"/>
        <v>0.64012666666666673</v>
      </c>
      <c r="O125" s="31">
        <f t="shared" si="43"/>
        <v>0.63384333333333331</v>
      </c>
      <c r="P125" s="31">
        <f t="shared" si="43"/>
        <v>0.62707666666666673</v>
      </c>
      <c r="Q125" s="31">
        <f t="shared" si="43"/>
        <v>0.61982666666666664</v>
      </c>
      <c r="R125" s="31">
        <f t="shared" si="43"/>
        <v>0.61219000000000001</v>
      </c>
      <c r="S125" s="31">
        <f t="shared" si="43"/>
        <v>0.60407</v>
      </c>
      <c r="T125" s="31">
        <f t="shared" si="43"/>
        <v>0.5954666666666667</v>
      </c>
      <c r="U125" s="31">
        <f t="shared" si="43"/>
        <v>0.58647666666666665</v>
      </c>
      <c r="V125" s="31">
        <f t="shared" si="43"/>
        <v>0.57700333333333331</v>
      </c>
      <c r="W125" s="31">
        <f t="shared" si="43"/>
        <v>0.5670466666666667</v>
      </c>
      <c r="X125" s="31">
        <f t="shared" si="43"/>
        <v>0.55670333333333333</v>
      </c>
      <c r="Y125" s="31">
        <f t="shared" si="43"/>
        <v>0.54587666666666668</v>
      </c>
      <c r="Z125" s="31">
        <f t="shared" si="43"/>
        <v>0.53456666666666663</v>
      </c>
      <c r="AA125" s="31">
        <f t="shared" si="43"/>
        <v>0.52286999999999995</v>
      </c>
      <c r="AB125" s="31">
        <f t="shared" si="43"/>
        <v>0.51068999999999998</v>
      </c>
      <c r="AC125" s="31">
        <f t="shared" si="43"/>
        <v>0.49802666666666662</v>
      </c>
      <c r="AD125" s="6" t="s">
        <v>53</v>
      </c>
      <c r="AG125" s="126"/>
      <c r="AH125" s="126">
        <v>75</v>
      </c>
      <c r="AI125" t="s">
        <v>8</v>
      </c>
    </row>
    <row r="126" spans="2:35" x14ac:dyDescent="0.15">
      <c r="B126" s="253" t="s">
        <v>156</v>
      </c>
      <c r="C126" s="226" t="s">
        <v>53</v>
      </c>
      <c r="D126" s="6" t="s">
        <v>91</v>
      </c>
      <c r="E126" s="116">
        <v>1</v>
      </c>
      <c r="F126" s="116">
        <f t="shared" ref="F126:O126" si="44">$P$5*(F124*100)^$Q$5/$R$5</f>
        <v>1.0032908495138475</v>
      </c>
      <c r="G126" s="103">
        <f t="shared" si="44"/>
        <v>1.0072405874931165</v>
      </c>
      <c r="H126" s="103">
        <f t="shared" si="44"/>
        <v>1.0118647461317642</v>
      </c>
      <c r="I126" s="103">
        <f t="shared" si="44"/>
        <v>1.0172539842928507</v>
      </c>
      <c r="J126" s="103">
        <f t="shared" si="44"/>
        <v>1.0233593096889433</v>
      </c>
      <c r="K126" s="103">
        <f t="shared" si="44"/>
        <v>1.0302058593442842</v>
      </c>
      <c r="L126" s="103">
        <f t="shared" si="44"/>
        <v>1.0378975977002818</v>
      </c>
      <c r="M126" s="103">
        <f t="shared" si="44"/>
        <v>1.0463944172229152</v>
      </c>
      <c r="N126" s="103">
        <f t="shared" si="44"/>
        <v>1.0557336389261469</v>
      </c>
      <c r="O126" s="103">
        <f t="shared" si="44"/>
        <v>1.0660367511389208</v>
      </c>
      <c r="P126" s="104">
        <v>1</v>
      </c>
      <c r="Q126" s="103">
        <f t="shared" ref="Q126:AC126" si="45">$P$5*(Q124*100)^$Q$5/$S$5</f>
        <v>1.0113500955737715</v>
      </c>
      <c r="R126" s="103">
        <f t="shared" si="45"/>
        <v>1.0237530621984705</v>
      </c>
      <c r="S126" s="103">
        <f t="shared" si="45"/>
        <v>1.037196998600511</v>
      </c>
      <c r="T126" s="103">
        <f t="shared" si="45"/>
        <v>1.0517531633699417</v>
      </c>
      <c r="U126" s="103">
        <f t="shared" si="45"/>
        <v>1.0675876948663043</v>
      </c>
      <c r="V126" s="103">
        <f t="shared" si="45"/>
        <v>1.084710599695708</v>
      </c>
      <c r="W126" s="103">
        <f t="shared" si="45"/>
        <v>1.1032247374818855</v>
      </c>
      <c r="X126" s="103">
        <f t="shared" si="45"/>
        <v>1.1233418196973615</v>
      </c>
      <c r="Y126" s="103">
        <f t="shared" si="45"/>
        <v>1.1451062231587013</v>
      </c>
      <c r="Z126" s="103">
        <f t="shared" si="45"/>
        <v>1.168669552410184</v>
      </c>
      <c r="AA126" s="103">
        <f t="shared" si="45"/>
        <v>1.1943128797085893</v>
      </c>
      <c r="AB126" s="103">
        <f t="shared" si="45"/>
        <v>1.2221372620524902</v>
      </c>
      <c r="AC126" s="103">
        <f t="shared" si="45"/>
        <v>1.2523732218909704</v>
      </c>
      <c r="AD126" s="6" t="s">
        <v>53</v>
      </c>
      <c r="AG126" s="126" t="s">
        <v>119</v>
      </c>
      <c r="AH126" s="126">
        <v>1</v>
      </c>
      <c r="AI126" t="s">
        <v>8</v>
      </c>
    </row>
    <row r="127" spans="2:35" x14ac:dyDescent="0.15">
      <c r="B127" s="252"/>
      <c r="C127" s="226"/>
      <c r="D127" s="6" t="s">
        <v>93</v>
      </c>
      <c r="E127" s="116">
        <v>1</v>
      </c>
      <c r="F127" s="116">
        <f t="shared" ref="F127:I127" si="46">$P$6*(F125*100)^$Q$6/$R$6</f>
        <v>1.0032503192301374</v>
      </c>
      <c r="G127" s="116">
        <f t="shared" si="46"/>
        <v>1.0072360660493553</v>
      </c>
      <c r="H127" s="116">
        <f t="shared" si="46"/>
        <v>1.0119746944788901</v>
      </c>
      <c r="I127" s="116">
        <f t="shared" si="46"/>
        <v>1.0173413863379952</v>
      </c>
      <c r="J127" s="120">
        <v>1</v>
      </c>
      <c r="K127" s="116">
        <f t="shared" ref="K127:AC127" si="47">$P$6*(K125*100)^$Q$6/$S$6</f>
        <v>1.0068247068922114</v>
      </c>
      <c r="L127" s="116">
        <f t="shared" si="47"/>
        <v>1.0143371734233182</v>
      </c>
      <c r="M127" s="116">
        <f t="shared" si="47"/>
        <v>1.0227172969356122</v>
      </c>
      <c r="N127" s="116">
        <f t="shared" si="47"/>
        <v>1.0320057898973785</v>
      </c>
      <c r="O127" s="116">
        <f t="shared" si="47"/>
        <v>1.0420922130690098</v>
      </c>
      <c r="P127" s="116">
        <f t="shared" si="47"/>
        <v>1.0531789698648777</v>
      </c>
      <c r="Q127" s="116">
        <f t="shared" si="47"/>
        <v>1.0653243586727232</v>
      </c>
      <c r="R127" s="116">
        <f t="shared" si="47"/>
        <v>1.078426389290553</v>
      </c>
      <c r="S127" s="116">
        <f t="shared" si="47"/>
        <v>1.092718471329964</v>
      </c>
      <c r="T127" s="116">
        <f t="shared" si="47"/>
        <v>1.1082835307038499</v>
      </c>
      <c r="U127" s="116">
        <f t="shared" si="47"/>
        <v>1.1250325886344492</v>
      </c>
      <c r="V127" s="116">
        <f t="shared" si="47"/>
        <v>1.1432428791439975</v>
      </c>
      <c r="W127" s="116">
        <f t="shared" si="47"/>
        <v>1.1630334133334419</v>
      </c>
      <c r="X127" s="116">
        <f t="shared" si="47"/>
        <v>1.1843368500631841</v>
      </c>
      <c r="Y127" s="116">
        <f t="shared" si="47"/>
        <v>1.207494393809063</v>
      </c>
      <c r="Z127" s="116">
        <f t="shared" si="47"/>
        <v>1.232680376428323</v>
      </c>
      <c r="AA127" s="116">
        <f t="shared" si="47"/>
        <v>1.259865310420363</v>
      </c>
      <c r="AB127" s="116">
        <f t="shared" si="47"/>
        <v>1.2894876279770338</v>
      </c>
      <c r="AC127" s="116">
        <f t="shared" si="47"/>
        <v>1.3218107190134532</v>
      </c>
      <c r="AD127" s="6" t="s">
        <v>53</v>
      </c>
      <c r="AG127" s="126"/>
      <c r="AH127" s="126">
        <v>0.75</v>
      </c>
      <c r="AI127" t="s">
        <v>8</v>
      </c>
    </row>
    <row r="128" spans="2:35" ht="13.5" customHeight="1" x14ac:dyDescent="0.15">
      <c r="B128" s="257" t="s">
        <v>186</v>
      </c>
      <c r="C128" s="228" t="s">
        <v>158</v>
      </c>
      <c r="D128" s="6" t="s">
        <v>91</v>
      </c>
      <c r="E128" s="35"/>
      <c r="F128" s="35"/>
      <c r="G128" s="35"/>
      <c r="H128" s="35"/>
      <c r="I128" s="35"/>
      <c r="J128" s="35">
        <f>ROUND($E$5*J122*365/1000000,0)</f>
        <v>14</v>
      </c>
      <c r="K128" s="35">
        <f t="shared" ref="K128:O128" si="48">ROUND($E$5*K122*365/1000000,0)</f>
        <v>14</v>
      </c>
      <c r="L128" s="35">
        <f t="shared" si="48"/>
        <v>14</v>
      </c>
      <c r="M128" s="35">
        <f t="shared" si="48"/>
        <v>14</v>
      </c>
      <c r="N128" s="35">
        <f t="shared" si="48"/>
        <v>14</v>
      </c>
      <c r="O128" s="35">
        <f t="shared" si="48"/>
        <v>14</v>
      </c>
      <c r="P128" s="124">
        <f>ROUND($F$5*P122*365/1000000,0)</f>
        <v>9</v>
      </c>
      <c r="Q128" s="35">
        <f>ROUND($F$5*Q122*365/1000000,0)</f>
        <v>9</v>
      </c>
      <c r="R128" s="35">
        <f t="shared" ref="R128:AC128" si="49">ROUND($F$5*R122*365/1000000,0)</f>
        <v>9</v>
      </c>
      <c r="S128" s="35">
        <f t="shared" si="49"/>
        <v>9</v>
      </c>
      <c r="T128" s="35">
        <f t="shared" si="49"/>
        <v>9</v>
      </c>
      <c r="U128" s="35">
        <f t="shared" si="49"/>
        <v>9</v>
      </c>
      <c r="V128" s="35">
        <f t="shared" si="49"/>
        <v>8</v>
      </c>
      <c r="W128" s="35">
        <f t="shared" si="49"/>
        <v>8</v>
      </c>
      <c r="X128" s="35">
        <f t="shared" si="49"/>
        <v>8</v>
      </c>
      <c r="Y128" s="35">
        <f t="shared" si="49"/>
        <v>8</v>
      </c>
      <c r="Z128" s="35">
        <f t="shared" si="49"/>
        <v>8</v>
      </c>
      <c r="AA128" s="35">
        <f t="shared" si="49"/>
        <v>8</v>
      </c>
      <c r="AB128" s="35">
        <f t="shared" si="49"/>
        <v>8</v>
      </c>
      <c r="AC128" s="35">
        <f t="shared" si="49"/>
        <v>7</v>
      </c>
      <c r="AD128" s="6"/>
      <c r="AG128" s="126"/>
      <c r="AH128" s="126"/>
    </row>
    <row r="129" spans="1:34" x14ac:dyDescent="0.15">
      <c r="B129" s="258"/>
      <c r="C129" s="267"/>
      <c r="D129" s="6" t="s">
        <v>93</v>
      </c>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6"/>
      <c r="AG129" s="126"/>
      <c r="AH129" s="126"/>
    </row>
    <row r="130" spans="1:34" x14ac:dyDescent="0.15">
      <c r="B130" s="263"/>
      <c r="C130" s="267"/>
      <c r="D130" s="6" t="s">
        <v>187</v>
      </c>
      <c r="E130" s="35"/>
      <c r="F130" s="35"/>
      <c r="G130" s="35"/>
      <c r="H130" s="35"/>
      <c r="I130" s="35"/>
      <c r="J130" s="124">
        <v>10</v>
      </c>
      <c r="K130" s="35">
        <f>+J130</f>
        <v>10</v>
      </c>
      <c r="L130" s="35">
        <f t="shared" ref="L130:AC130" si="50">+K130</f>
        <v>10</v>
      </c>
      <c r="M130" s="35">
        <f t="shared" si="50"/>
        <v>10</v>
      </c>
      <c r="N130" s="35">
        <f t="shared" si="50"/>
        <v>10</v>
      </c>
      <c r="O130" s="35">
        <f t="shared" si="50"/>
        <v>10</v>
      </c>
      <c r="P130" s="35">
        <f t="shared" si="50"/>
        <v>10</v>
      </c>
      <c r="Q130" s="35">
        <f t="shared" si="50"/>
        <v>10</v>
      </c>
      <c r="R130" s="35">
        <f t="shared" si="50"/>
        <v>10</v>
      </c>
      <c r="S130" s="35">
        <f t="shared" si="50"/>
        <v>10</v>
      </c>
      <c r="T130" s="35">
        <f t="shared" si="50"/>
        <v>10</v>
      </c>
      <c r="U130" s="35">
        <f t="shared" si="50"/>
        <v>10</v>
      </c>
      <c r="V130" s="35">
        <f t="shared" si="50"/>
        <v>10</v>
      </c>
      <c r="W130" s="35">
        <f t="shared" si="50"/>
        <v>10</v>
      </c>
      <c r="X130" s="35">
        <f t="shared" si="50"/>
        <v>10</v>
      </c>
      <c r="Y130" s="35">
        <f t="shared" si="50"/>
        <v>10</v>
      </c>
      <c r="Z130" s="35">
        <f t="shared" si="50"/>
        <v>10</v>
      </c>
      <c r="AA130" s="35">
        <f t="shared" si="50"/>
        <v>10</v>
      </c>
      <c r="AB130" s="35">
        <f t="shared" si="50"/>
        <v>10</v>
      </c>
      <c r="AC130" s="35">
        <f t="shared" si="50"/>
        <v>10</v>
      </c>
      <c r="AD130" s="6"/>
      <c r="AG130" s="126"/>
      <c r="AH130" s="126"/>
    </row>
    <row r="131" spans="1:34" x14ac:dyDescent="0.15">
      <c r="A131" t="s">
        <v>271</v>
      </c>
      <c r="B131" s="257" t="s">
        <v>188</v>
      </c>
      <c r="C131" s="267"/>
      <c r="D131" s="6" t="s">
        <v>91</v>
      </c>
      <c r="E131" s="117">
        <f>E119*E126*$C$5*365/1000000</f>
        <v>111.1425</v>
      </c>
      <c r="F131" s="117">
        <f>F119*F126*$C$5*365/1000000</f>
        <v>111.13390410620862</v>
      </c>
      <c r="G131" s="117">
        <f>G119*G126*$C$5*365/1000000</f>
        <v>111.12362518041571</v>
      </c>
      <c r="H131" s="117">
        <f>H119*H126*$C$5*365/1000000</f>
        <v>111.11164341638622</v>
      </c>
      <c r="I131" s="117">
        <f>I119*I126*$C$5*365/1000000</f>
        <v>111.09774975779159</v>
      </c>
      <c r="J131" s="121">
        <f>J119*J126*$C$5*365/1000000+SUM(J128:J130)</f>
        <v>135.08210073073104</v>
      </c>
      <c r="K131" s="117">
        <f>K119*K126*$C$5*365/1000000+SUM(K128:K130)</f>
        <v>135.06466508050693</v>
      </c>
      <c r="L131" s="117">
        <f>L119*L126*$C$5*365/1000000+SUM(L128:L130)</f>
        <v>135.04521795579592</v>
      </c>
      <c r="M131" s="117">
        <f t="shared" ref="M131:O131" si="51">M119*M126*$C$5*365/1000000+SUM(M128:M130)</f>
        <v>135.02390607957031</v>
      </c>
      <c r="N131" s="117">
        <f t="shared" si="51"/>
        <v>135.00068466227444</v>
      </c>
      <c r="O131" s="117">
        <f t="shared" si="51"/>
        <v>134.97530927151917</v>
      </c>
      <c r="P131" s="121">
        <f>P119*P126*$D$5*365/1000000+SUM(P128:P130)</f>
        <v>84.913218400000005</v>
      </c>
      <c r="Q131" s="117">
        <f t="shared" ref="Q131:AC131" si="52">Q119*Q126*$D$5*365/1000000+SUM(Q128:Q130)</f>
        <v>84.895708061141789</v>
      </c>
      <c r="R131" s="117">
        <f t="shared" si="52"/>
        <v>84.876801932363819</v>
      </c>
      <c r="S131" s="117">
        <f t="shared" si="52"/>
        <v>84.856572009586984</v>
      </c>
      <c r="T131" s="117">
        <f t="shared" si="52"/>
        <v>84.834968860583999</v>
      </c>
      <c r="U131" s="117">
        <f t="shared" si="52"/>
        <v>84.811813262410837</v>
      </c>
      <c r="V131" s="117">
        <f t="shared" si="52"/>
        <v>83.78716592946661</v>
      </c>
      <c r="W131" s="117">
        <f t="shared" si="52"/>
        <v>83.760960136394516</v>
      </c>
      <c r="X131" s="117">
        <f t="shared" si="52"/>
        <v>83.732990928458889</v>
      </c>
      <c r="Y131" s="117">
        <f t="shared" si="52"/>
        <v>83.703303004569065</v>
      </c>
      <c r="Z131" s="117">
        <f t="shared" si="52"/>
        <v>83.671805456455431</v>
      </c>
      <c r="AA131" s="117">
        <f t="shared" si="52"/>
        <v>83.638257798559522</v>
      </c>
      <c r="AB131" s="117">
        <f t="shared" si="52"/>
        <v>83.602680785948422</v>
      </c>
      <c r="AC131" s="117">
        <f t="shared" si="52"/>
        <v>82.564948249034657</v>
      </c>
      <c r="AD131" s="25">
        <f t="shared" ref="AD131:AD133" si="53">SUM(E131:AC131)</f>
        <v>2543.4525010561747</v>
      </c>
    </row>
    <row r="132" spans="1:34" x14ac:dyDescent="0.15">
      <c r="A132" t="s">
        <v>272</v>
      </c>
      <c r="B132" s="258"/>
      <c r="C132" s="267"/>
      <c r="D132" s="6" t="s">
        <v>93</v>
      </c>
      <c r="E132" s="117">
        <f>E120*E127*$C$6*365/1000000</f>
        <v>62.98075</v>
      </c>
      <c r="F132" s="117">
        <f>F120*F127*$C$6*365/1000000</f>
        <v>62.977848182355523</v>
      </c>
      <c r="G132" s="117">
        <f>G120*G127*$C$6*365/1000000</f>
        <v>62.974302777379549</v>
      </c>
      <c r="H132" s="117">
        <f>H120*H127*$C$6*365/1000000</f>
        <v>62.970106136429749</v>
      </c>
      <c r="I132" s="117">
        <f>I120*I127*$C$6*365/1000000</f>
        <v>62.965377268230924</v>
      </c>
      <c r="J132" s="121">
        <f>J120*J127*$D$6*365/1000000*$U$6</f>
        <v>26.950455798000004</v>
      </c>
      <c r="K132" s="117">
        <f t="shared" ref="K132:AC132" si="54">K120*K127*$D$6*365/1000000*$U$6</f>
        <v>26.947853227519239</v>
      </c>
      <c r="L132" s="117">
        <f t="shared" si="54"/>
        <v>26.945008990261471</v>
      </c>
      <c r="M132" s="117">
        <f t="shared" si="54"/>
        <v>26.941861355672852</v>
      </c>
      <c r="N132" s="117">
        <f t="shared" si="54"/>
        <v>26.938402951459391</v>
      </c>
      <c r="O132" s="117">
        <f t="shared" si="54"/>
        <v>26.934683025388967</v>
      </c>
      <c r="P132" s="117">
        <f t="shared" si="54"/>
        <v>26.930636067449349</v>
      </c>
      <c r="Q132" s="117">
        <f t="shared" si="54"/>
        <v>26.92625197801603</v>
      </c>
      <c r="R132" s="117">
        <f t="shared" si="54"/>
        <v>26.921579050301204</v>
      </c>
      <c r="S132" s="117">
        <f t="shared" si="54"/>
        <v>26.916546895109811</v>
      </c>
      <c r="T132" s="117">
        <f t="shared" si="54"/>
        <v>26.911141910816813</v>
      </c>
      <c r="U132" s="117">
        <f t="shared" si="54"/>
        <v>26.905411109880166</v>
      </c>
      <c r="V132" s="117">
        <f t="shared" si="54"/>
        <v>26.899277704751814</v>
      </c>
      <c r="W132" s="117">
        <f t="shared" si="54"/>
        <v>26.892723414619887</v>
      </c>
      <c r="X132" s="117">
        <f t="shared" si="54"/>
        <v>26.885793307719453</v>
      </c>
      <c r="Y132" s="117">
        <f t="shared" si="54"/>
        <v>26.8784020252895</v>
      </c>
      <c r="Z132" s="117">
        <f t="shared" si="54"/>
        <v>26.870524781176563</v>
      </c>
      <c r="AA132" s="117">
        <f t="shared" si="54"/>
        <v>26.862203458065519</v>
      </c>
      <c r="AB132" s="117">
        <f t="shared" si="54"/>
        <v>26.853340887353486</v>
      </c>
      <c r="AC132" s="117">
        <f t="shared" si="54"/>
        <v>26.843902850168156</v>
      </c>
      <c r="AD132" s="25">
        <f t="shared" si="53"/>
        <v>853.02438515341578</v>
      </c>
    </row>
    <row r="133" spans="1:34" ht="13.5" customHeight="1" x14ac:dyDescent="0.15">
      <c r="A133" t="s">
        <v>273</v>
      </c>
      <c r="B133" s="257" t="s">
        <v>159</v>
      </c>
      <c r="C133" s="267"/>
      <c r="D133" s="6" t="s">
        <v>91</v>
      </c>
      <c r="E133" s="33"/>
      <c r="F133" s="33"/>
      <c r="G133" s="33"/>
      <c r="H133" s="33"/>
      <c r="I133" s="33"/>
      <c r="J133" s="33"/>
      <c r="K133" s="33"/>
      <c r="L133" s="33"/>
      <c r="M133" s="33"/>
      <c r="N133" s="33"/>
      <c r="O133" s="215">
        <f>($V$5*P116^$W$5)/1000*(1+23.8/33.4)+$Z$5*P116^$AA$5/1000*(1+23.8/33.4)+X5*P117^Y5/1000*(1+23.8/33.4)</f>
        <v>1278.4462777268004</v>
      </c>
      <c r="P133" s="183"/>
      <c r="Q133" s="27"/>
      <c r="R133" s="33"/>
      <c r="S133" s="33"/>
      <c r="T133" s="33"/>
      <c r="U133" s="33"/>
      <c r="V133" s="33"/>
      <c r="W133" s="33"/>
      <c r="X133" s="33"/>
      <c r="Y133" s="33"/>
      <c r="Z133" s="33"/>
      <c r="AA133" s="33"/>
      <c r="AB133" s="33"/>
      <c r="AC133" s="33"/>
      <c r="AD133" s="25">
        <f t="shared" si="53"/>
        <v>1278.4462777268004</v>
      </c>
    </row>
    <row r="134" spans="1:34" ht="13.5" customHeight="1" x14ac:dyDescent="0.15">
      <c r="A134" t="s">
        <v>274</v>
      </c>
      <c r="B134" s="263"/>
      <c r="C134" s="267"/>
      <c r="D134" s="6" t="s">
        <v>93</v>
      </c>
      <c r="E134" s="33"/>
      <c r="F134" s="33"/>
      <c r="G134" s="33"/>
      <c r="H134" s="33"/>
      <c r="I134" s="125">
        <f>V6*J118^W6/1000*(1+26.2/40)+Z6*J118^AA6/1000*(1+26.2/40)</f>
        <v>800.65930155853425</v>
      </c>
      <c r="J134" s="182"/>
      <c r="K134" s="33"/>
      <c r="L134" s="33"/>
      <c r="M134" s="33"/>
      <c r="N134" s="33"/>
      <c r="O134" s="33"/>
      <c r="P134" s="32"/>
      <c r="Q134" s="33"/>
      <c r="R134" s="33"/>
      <c r="S134" s="33"/>
      <c r="T134" s="33"/>
      <c r="U134" s="33"/>
      <c r="V134" s="33"/>
      <c r="W134" s="33"/>
      <c r="X134" s="33"/>
      <c r="Y134" s="33"/>
      <c r="Z134" s="33"/>
      <c r="AA134" s="33"/>
      <c r="AB134" s="33"/>
      <c r="AC134" s="33"/>
      <c r="AD134" s="25"/>
    </row>
    <row r="135" spans="1:34" x14ac:dyDescent="0.15">
      <c r="B135" s="4" t="s">
        <v>178</v>
      </c>
      <c r="C135" s="267"/>
      <c r="D135" s="11" t="s">
        <v>53</v>
      </c>
      <c r="E135" s="25">
        <f>SUM(E131:E134)</f>
        <v>174.12324999999998</v>
      </c>
      <c r="F135" s="25">
        <f t="shared" ref="F135:AC135" si="55">SUM(F131:F134)</f>
        <v>174.11175228856413</v>
      </c>
      <c r="G135" s="25">
        <f t="shared" si="55"/>
        <v>174.09792795779526</v>
      </c>
      <c r="H135" s="25">
        <f t="shared" si="55"/>
        <v>174.08174955281595</v>
      </c>
      <c r="I135" s="25">
        <f t="shared" si="55"/>
        <v>974.72242858455684</v>
      </c>
      <c r="J135" s="25">
        <f t="shared" si="55"/>
        <v>162.03255652873105</v>
      </c>
      <c r="K135" s="25">
        <f t="shared" si="55"/>
        <v>162.01251830802616</v>
      </c>
      <c r="L135" s="25">
        <f t="shared" si="55"/>
        <v>161.99022694605739</v>
      </c>
      <c r="M135" s="25">
        <f t="shared" si="55"/>
        <v>161.96576743524315</v>
      </c>
      <c r="N135" s="25">
        <f t="shared" si="55"/>
        <v>161.93908761373382</v>
      </c>
      <c r="O135" s="25">
        <f t="shared" si="55"/>
        <v>1440.3562700237085</v>
      </c>
      <c r="P135" s="25">
        <f t="shared" si="55"/>
        <v>111.84385446744935</v>
      </c>
      <c r="Q135" s="25">
        <f t="shared" si="55"/>
        <v>111.82196003915782</v>
      </c>
      <c r="R135" s="25">
        <f t="shared" si="55"/>
        <v>111.79838098266502</v>
      </c>
      <c r="S135" s="25">
        <f t="shared" si="55"/>
        <v>111.77311890469679</v>
      </c>
      <c r="T135" s="25">
        <f t="shared" si="55"/>
        <v>111.74611077140081</v>
      </c>
      <c r="U135" s="25">
        <f t="shared" si="55"/>
        <v>111.717224372291</v>
      </c>
      <c r="V135" s="25">
        <f t="shared" si="55"/>
        <v>110.68644363421842</v>
      </c>
      <c r="W135" s="25">
        <f t="shared" si="55"/>
        <v>110.65368355101441</v>
      </c>
      <c r="X135" s="25">
        <f t="shared" si="55"/>
        <v>110.61878423617834</v>
      </c>
      <c r="Y135" s="25">
        <f t="shared" si="55"/>
        <v>110.58170502985857</v>
      </c>
      <c r="Z135" s="25">
        <f t="shared" si="55"/>
        <v>110.542330237632</v>
      </c>
      <c r="AA135" s="25">
        <f t="shared" si="55"/>
        <v>110.50046125662504</v>
      </c>
      <c r="AB135" s="25">
        <f t="shared" si="55"/>
        <v>110.4560216733019</v>
      </c>
      <c r="AC135" s="25">
        <f t="shared" si="55"/>
        <v>109.40885109920282</v>
      </c>
      <c r="AD135" s="25">
        <f>SUM(E135:AC135)</f>
        <v>5475.5824654949247</v>
      </c>
    </row>
    <row r="136" spans="1:34" x14ac:dyDescent="0.15">
      <c r="A136" t="s">
        <v>275</v>
      </c>
      <c r="B136" s="4" t="s">
        <v>179</v>
      </c>
      <c r="C136" s="268"/>
      <c r="D136" s="11" t="s">
        <v>53</v>
      </c>
      <c r="E136" s="25">
        <f>E135</f>
        <v>174.12324999999998</v>
      </c>
      <c r="F136" s="25">
        <f t="shared" ref="F136" si="56">E136+F135</f>
        <v>348.23500228856415</v>
      </c>
      <c r="G136" s="25">
        <f t="shared" ref="G136" si="57">F136+G135</f>
        <v>522.33293024635941</v>
      </c>
      <c r="H136" s="25">
        <f t="shared" ref="H136" si="58">G136+H135</f>
        <v>696.41467979917536</v>
      </c>
      <c r="I136" s="25">
        <f t="shared" ref="I136" si="59">H136+I135</f>
        <v>1671.1371083837321</v>
      </c>
      <c r="J136" s="25">
        <f t="shared" ref="J136" si="60">I136+J135</f>
        <v>1833.1696649124631</v>
      </c>
      <c r="K136" s="25">
        <f t="shared" ref="K136" si="61">J136+K135</f>
        <v>1995.1821832204892</v>
      </c>
      <c r="L136" s="25">
        <f t="shared" ref="L136" si="62">K136+L135</f>
        <v>2157.1724101665463</v>
      </c>
      <c r="M136" s="25">
        <f t="shared" ref="M136" si="63">L136+M135</f>
        <v>2319.1381776017897</v>
      </c>
      <c r="N136" s="25">
        <f t="shared" ref="N136" si="64">M136+N135</f>
        <v>2481.0772652155238</v>
      </c>
      <c r="O136" s="25">
        <f t="shared" ref="O136" si="65">N136+O135</f>
        <v>3921.4335352392322</v>
      </c>
      <c r="P136" s="25">
        <f t="shared" ref="P136" si="66">O136+P135</f>
        <v>4033.2773897066818</v>
      </c>
      <c r="Q136" s="25">
        <f t="shared" ref="Q136" si="67">P136+Q135</f>
        <v>4145.0993497458394</v>
      </c>
      <c r="R136" s="25">
        <f t="shared" ref="R136" si="68">Q136+R135</f>
        <v>4256.897730728504</v>
      </c>
      <c r="S136" s="25">
        <f t="shared" ref="S136" si="69">R136+S135</f>
        <v>4368.6708496332012</v>
      </c>
      <c r="T136" s="25">
        <f t="shared" ref="T136" si="70">S136+T135</f>
        <v>4480.4169604046019</v>
      </c>
      <c r="U136" s="25">
        <f t="shared" ref="U136" si="71">T136+U135</f>
        <v>4592.1341847768927</v>
      </c>
      <c r="V136" s="25">
        <f t="shared" ref="V136" si="72">U136+V135</f>
        <v>4702.8206284111111</v>
      </c>
      <c r="W136" s="25">
        <f t="shared" ref="W136" si="73">V136+W135</f>
        <v>4813.4743119621253</v>
      </c>
      <c r="X136" s="25">
        <f t="shared" ref="X136" si="74">W136+X135</f>
        <v>4924.093096198304</v>
      </c>
      <c r="Y136" s="25">
        <f t="shared" ref="Y136" si="75">X136+Y135</f>
        <v>5034.6748012281623</v>
      </c>
      <c r="Z136" s="25">
        <f t="shared" ref="Z136" si="76">Y136+Z135</f>
        <v>5145.2171314657944</v>
      </c>
      <c r="AA136" s="25">
        <f t="shared" ref="AA136" si="77">Z136+AA135</f>
        <v>5255.7175927224198</v>
      </c>
      <c r="AB136" s="25">
        <f t="shared" ref="AB136" si="78">AA136+AB135</f>
        <v>5366.1736143957214</v>
      </c>
      <c r="AC136" s="25">
        <f t="shared" ref="AC136" si="79">AB136+AC135</f>
        <v>5475.5824654949247</v>
      </c>
      <c r="AD136" s="28">
        <f>AD135/COUNTA(E115:AC115)</f>
        <v>219.02329861979698</v>
      </c>
    </row>
    <row r="137" spans="1:34" x14ac:dyDescent="0.15">
      <c r="B137" t="s">
        <v>153</v>
      </c>
      <c r="C137" t="s">
        <v>164</v>
      </c>
      <c r="AD137" s="29" t="s">
        <v>163</v>
      </c>
    </row>
    <row r="138" spans="1:34" x14ac:dyDescent="0.15">
      <c r="B138" t="s">
        <v>184</v>
      </c>
      <c r="C138" t="s">
        <v>165</v>
      </c>
    </row>
    <row r="139" spans="1:34" x14ac:dyDescent="0.15">
      <c r="B139" t="s">
        <v>189</v>
      </c>
      <c r="C139" t="s">
        <v>190</v>
      </c>
    </row>
    <row r="140" spans="1:34" x14ac:dyDescent="0.15">
      <c r="B140" t="s">
        <v>155</v>
      </c>
      <c r="C140" t="s">
        <v>166</v>
      </c>
    </row>
    <row r="141" spans="1:34" x14ac:dyDescent="0.15">
      <c r="B141" s="18" t="s">
        <v>156</v>
      </c>
      <c r="C141" s="19" t="s">
        <v>167</v>
      </c>
    </row>
    <row r="142" spans="1:34" x14ac:dyDescent="0.15">
      <c r="B142" s="20" t="s">
        <v>191</v>
      </c>
      <c r="C142" s="19" t="s">
        <v>192</v>
      </c>
    </row>
    <row r="143" spans="1:34" x14ac:dyDescent="0.15">
      <c r="B143" s="20" t="s">
        <v>188</v>
      </c>
      <c r="C143" t="s">
        <v>193</v>
      </c>
    </row>
    <row r="144" spans="1:34" x14ac:dyDescent="0.15">
      <c r="B144" s="20"/>
      <c r="C144" t="s">
        <v>194</v>
      </c>
    </row>
    <row r="145" spans="2:3" x14ac:dyDescent="0.15">
      <c r="B145" s="18" t="s">
        <v>159</v>
      </c>
      <c r="C145" s="19" t="s">
        <v>195</v>
      </c>
    </row>
    <row r="146" spans="2:3" x14ac:dyDescent="0.15">
      <c r="B146" t="s">
        <v>160</v>
      </c>
      <c r="C146" t="s">
        <v>168</v>
      </c>
    </row>
    <row r="147" spans="2:3" x14ac:dyDescent="0.15">
      <c r="B147" t="s">
        <v>161</v>
      </c>
      <c r="C147" s="19" t="s">
        <v>169</v>
      </c>
    </row>
    <row r="148" spans="2:3" outlineLevel="1" x14ac:dyDescent="0.15"/>
    <row r="149" spans="2:3" outlineLevel="1" x14ac:dyDescent="0.15"/>
    <row r="150" spans="2:3" outlineLevel="1" x14ac:dyDescent="0.15"/>
    <row r="151" spans="2:3" outlineLevel="1" x14ac:dyDescent="0.15"/>
    <row r="152" spans="2:3" outlineLevel="1" x14ac:dyDescent="0.15"/>
    <row r="153" spans="2:3" outlineLevel="1" x14ac:dyDescent="0.15"/>
    <row r="154" spans="2:3" outlineLevel="1" x14ac:dyDescent="0.15"/>
    <row r="155" spans="2:3" outlineLevel="1" x14ac:dyDescent="0.15"/>
    <row r="156" spans="2:3" outlineLevel="1" x14ac:dyDescent="0.15"/>
    <row r="157" spans="2:3" outlineLevel="1" x14ac:dyDescent="0.15"/>
    <row r="158" spans="2:3" outlineLevel="1" x14ac:dyDescent="0.15"/>
    <row r="159" spans="2:3" outlineLevel="1" x14ac:dyDescent="0.15"/>
    <row r="160" spans="2:3" outlineLevel="1" x14ac:dyDescent="0.15"/>
    <row r="161" spans="1:9" outlineLevel="1" x14ac:dyDescent="0.15"/>
    <row r="162" spans="1:9" outlineLevel="1" x14ac:dyDescent="0.15"/>
    <row r="163" spans="1:9" outlineLevel="1" x14ac:dyDescent="0.15"/>
    <row r="164" spans="1:9" outlineLevel="1" x14ac:dyDescent="0.15"/>
    <row r="165" spans="1:9" outlineLevel="1" x14ac:dyDescent="0.15"/>
    <row r="166" spans="1:9" outlineLevel="1" x14ac:dyDescent="0.15"/>
    <row r="170" spans="1:9" s="14" customFormat="1" ht="18.75" x14ac:dyDescent="0.15">
      <c r="F170" s="15" t="s">
        <v>196</v>
      </c>
    </row>
    <row r="171" spans="1:9" s="92" customFormat="1" x14ac:dyDescent="0.15">
      <c r="A171" s="220" t="s">
        <v>82</v>
      </c>
      <c r="B171" s="220" t="s">
        <v>83</v>
      </c>
      <c r="C171" s="220" t="s">
        <v>197</v>
      </c>
      <c r="D171" s="256"/>
      <c r="E171" s="292" t="s">
        <v>197</v>
      </c>
      <c r="F171" s="294" t="s">
        <v>198</v>
      </c>
      <c r="G171" s="294" t="s">
        <v>199</v>
      </c>
      <c r="H171" s="292" t="s">
        <v>200</v>
      </c>
      <c r="I171" s="292" t="s">
        <v>201</v>
      </c>
    </row>
    <row r="172" spans="1:9" s="92" customFormat="1" x14ac:dyDescent="0.15">
      <c r="A172" s="220"/>
      <c r="B172" s="220"/>
      <c r="C172" s="6" t="s">
        <v>148</v>
      </c>
      <c r="D172" s="127" t="s">
        <v>149</v>
      </c>
      <c r="E172" s="292"/>
      <c r="F172" s="292"/>
      <c r="G172" s="292"/>
      <c r="H172" s="292"/>
      <c r="I172" s="292"/>
    </row>
    <row r="173" spans="1:9" s="92" customFormat="1" x14ac:dyDescent="0.15">
      <c r="A173" s="12" t="s">
        <v>91</v>
      </c>
      <c r="B173" s="12" t="s">
        <v>92</v>
      </c>
      <c r="C173" s="128">
        <v>34.51</v>
      </c>
      <c r="D173" s="129">
        <v>-0.83399999999999996</v>
      </c>
      <c r="E173" s="130">
        <f>$C$173*(E15*100)^$D$173</f>
        <v>1.4397016426270861</v>
      </c>
      <c r="F173" s="25">
        <f>維持管理費等!G5</f>
        <v>1086726.6666666667</v>
      </c>
      <c r="G173" s="40">
        <f>F173/(E178*365)</f>
        <v>0.73333333333333339</v>
      </c>
      <c r="H173" s="5">
        <v>8.8000000000000004E-7</v>
      </c>
      <c r="I173" s="5">
        <v>1.6E-7</v>
      </c>
    </row>
    <row r="174" spans="1:9" x14ac:dyDescent="0.15">
      <c r="A174" s="6" t="s">
        <v>93</v>
      </c>
      <c r="B174" s="6" t="s">
        <v>94</v>
      </c>
      <c r="C174" s="128">
        <v>38.841999999999999</v>
      </c>
      <c r="D174" s="129">
        <v>-0.86199999999999999</v>
      </c>
      <c r="E174" s="130">
        <f>$C$174*(E16*100)^$D$174</f>
        <v>1.5121272949305169</v>
      </c>
      <c r="F174" s="25">
        <f>維持管理費等!G7</f>
        <v>642156.66666666663</v>
      </c>
      <c r="G174" s="40">
        <f>F174/(E179*365)</f>
        <v>0.86666666666666659</v>
      </c>
      <c r="H174" s="5">
        <v>8.8000000000000004E-7</v>
      </c>
      <c r="I174" s="5">
        <v>1.6E-7</v>
      </c>
    </row>
    <row r="177" spans="2:30" ht="14.25" thickBot="1" x14ac:dyDescent="0.2">
      <c r="B177" s="216" t="s">
        <v>43</v>
      </c>
      <c r="C177" s="216"/>
      <c r="D177" s="131" t="s">
        <v>11</v>
      </c>
      <c r="E177" s="2">
        <v>1</v>
      </c>
      <c r="F177" s="2">
        <v>2</v>
      </c>
      <c r="G177" s="2">
        <v>3</v>
      </c>
      <c r="H177" s="2">
        <v>4</v>
      </c>
      <c r="I177" s="2">
        <v>5</v>
      </c>
      <c r="J177" s="2">
        <v>6</v>
      </c>
      <c r="K177" s="2">
        <v>7</v>
      </c>
      <c r="L177" s="2">
        <v>8</v>
      </c>
      <c r="M177" s="2">
        <v>9</v>
      </c>
      <c r="N177" s="2">
        <v>10</v>
      </c>
      <c r="O177" s="2">
        <v>11</v>
      </c>
      <c r="P177" s="2">
        <v>12</v>
      </c>
      <c r="Q177" s="2">
        <v>13</v>
      </c>
      <c r="R177" s="2">
        <v>14</v>
      </c>
      <c r="S177" s="2">
        <v>15</v>
      </c>
      <c r="T177" s="2">
        <v>16</v>
      </c>
      <c r="U177" s="2">
        <v>17</v>
      </c>
      <c r="V177" s="2">
        <v>18</v>
      </c>
      <c r="W177" s="2">
        <v>19</v>
      </c>
      <c r="X177" s="2">
        <v>20</v>
      </c>
      <c r="Y177" s="2">
        <v>21</v>
      </c>
      <c r="Z177" s="2">
        <v>22</v>
      </c>
      <c r="AA177" s="2">
        <v>23</v>
      </c>
      <c r="AB177" s="2">
        <v>24</v>
      </c>
      <c r="AC177" s="2">
        <v>25</v>
      </c>
      <c r="AD177" s="1" t="s">
        <v>126</v>
      </c>
    </row>
    <row r="178" spans="2:30" ht="14.25" customHeight="1" thickTop="1" x14ac:dyDescent="0.15">
      <c r="B178" s="301" t="s">
        <v>202</v>
      </c>
      <c r="C178" s="286" t="s">
        <v>203</v>
      </c>
      <c r="D178" s="132" t="s">
        <v>204</v>
      </c>
      <c r="E178" s="133">
        <f t="shared" ref="E178:AC178" si="80">E13</f>
        <v>4060</v>
      </c>
      <c r="F178" s="133">
        <f t="shared" si="80"/>
        <v>4046.37</v>
      </c>
      <c r="G178" s="133">
        <f t="shared" si="80"/>
        <v>4030.13</v>
      </c>
      <c r="H178" s="133">
        <f t="shared" si="80"/>
        <v>4011.28</v>
      </c>
      <c r="I178" s="133">
        <f t="shared" si="80"/>
        <v>3989.53</v>
      </c>
      <c r="J178" s="133">
        <f t="shared" si="80"/>
        <v>3965.17</v>
      </c>
      <c r="K178" s="133">
        <f t="shared" si="80"/>
        <v>3938.2</v>
      </c>
      <c r="L178" s="133">
        <f t="shared" si="80"/>
        <v>3908.33</v>
      </c>
      <c r="M178" s="133">
        <f t="shared" si="80"/>
        <v>3875.85</v>
      </c>
      <c r="N178" s="133">
        <f t="shared" si="80"/>
        <v>3840.76</v>
      </c>
      <c r="O178" s="133">
        <f t="shared" si="80"/>
        <v>3802.77</v>
      </c>
      <c r="P178" s="133">
        <f t="shared" si="80"/>
        <v>3762.17</v>
      </c>
      <c r="Q178" s="133">
        <f t="shared" si="80"/>
        <v>3718.96</v>
      </c>
      <c r="R178" s="133">
        <f t="shared" si="80"/>
        <v>3672.85</v>
      </c>
      <c r="S178" s="133">
        <f t="shared" si="80"/>
        <v>3624.13</v>
      </c>
      <c r="T178" s="133">
        <f t="shared" si="80"/>
        <v>3572.8</v>
      </c>
      <c r="U178" s="133">
        <f t="shared" si="80"/>
        <v>3518.57</v>
      </c>
      <c r="V178" s="133">
        <f t="shared" si="80"/>
        <v>3461.73</v>
      </c>
      <c r="W178" s="133">
        <f t="shared" si="80"/>
        <v>3402.28</v>
      </c>
      <c r="X178" s="133">
        <f t="shared" si="80"/>
        <v>3339.93</v>
      </c>
      <c r="Y178" s="133">
        <f t="shared" si="80"/>
        <v>3274.97</v>
      </c>
      <c r="Z178" s="133">
        <f t="shared" si="80"/>
        <v>3207.4</v>
      </c>
      <c r="AA178" s="133">
        <f t="shared" si="80"/>
        <v>3136.93</v>
      </c>
      <c r="AB178" s="133">
        <f t="shared" si="80"/>
        <v>3063.85</v>
      </c>
      <c r="AC178" s="133">
        <f t="shared" si="80"/>
        <v>2988.16</v>
      </c>
      <c r="AD178" s="133"/>
    </row>
    <row r="179" spans="2:30" x14ac:dyDescent="0.15">
      <c r="B179" s="220"/>
      <c r="C179" s="270"/>
      <c r="D179" s="4" t="s">
        <v>205</v>
      </c>
      <c r="E179" s="16">
        <f t="shared" ref="E179:AC179" si="81">E14</f>
        <v>2030</v>
      </c>
      <c r="F179" s="16">
        <f t="shared" si="81"/>
        <v>2023.33</v>
      </c>
      <c r="G179" s="16">
        <f t="shared" si="81"/>
        <v>2015.21</v>
      </c>
      <c r="H179" s="16">
        <f t="shared" si="81"/>
        <v>2005.64</v>
      </c>
      <c r="I179" s="16">
        <f t="shared" si="81"/>
        <v>1994.91</v>
      </c>
      <c r="J179" s="16">
        <f t="shared" si="81"/>
        <v>1982.73</v>
      </c>
      <c r="K179" s="16">
        <f t="shared" si="81"/>
        <v>1969.1</v>
      </c>
      <c r="L179" s="16">
        <f t="shared" si="81"/>
        <v>1954.31</v>
      </c>
      <c r="M179" s="16">
        <f t="shared" si="81"/>
        <v>1938.07</v>
      </c>
      <c r="N179" s="16">
        <f t="shared" si="81"/>
        <v>1920.38</v>
      </c>
      <c r="O179" s="16">
        <f t="shared" si="81"/>
        <v>1901.53</v>
      </c>
      <c r="P179" s="16">
        <f t="shared" si="81"/>
        <v>1881.23</v>
      </c>
      <c r="Q179" s="16">
        <f t="shared" si="81"/>
        <v>1859.48</v>
      </c>
      <c r="R179" s="16">
        <f t="shared" si="81"/>
        <v>1836.57</v>
      </c>
      <c r="S179" s="16">
        <f t="shared" si="81"/>
        <v>1812.21</v>
      </c>
      <c r="T179" s="16">
        <f t="shared" si="81"/>
        <v>1786.4</v>
      </c>
      <c r="U179" s="16">
        <f t="shared" si="81"/>
        <v>1759.43</v>
      </c>
      <c r="V179" s="16">
        <f t="shared" si="81"/>
        <v>1731.01</v>
      </c>
      <c r="W179" s="16">
        <f t="shared" si="81"/>
        <v>1701.14</v>
      </c>
      <c r="X179" s="16">
        <f t="shared" si="81"/>
        <v>1670.11</v>
      </c>
      <c r="Y179" s="16">
        <f t="shared" si="81"/>
        <v>1637.63</v>
      </c>
      <c r="Z179" s="16">
        <f t="shared" si="81"/>
        <v>1603.7</v>
      </c>
      <c r="AA179" s="16">
        <f t="shared" si="81"/>
        <v>1568.61</v>
      </c>
      <c r="AB179" s="16">
        <f t="shared" si="81"/>
        <v>1532.07</v>
      </c>
      <c r="AC179" s="16">
        <f t="shared" si="81"/>
        <v>1494.08</v>
      </c>
      <c r="AD179" s="17"/>
    </row>
    <row r="180" spans="2:30" ht="13.5" customHeight="1" x14ac:dyDescent="0.15">
      <c r="B180" s="220"/>
      <c r="C180" s="271" t="s">
        <v>206</v>
      </c>
      <c r="D180" s="4" t="s">
        <v>204</v>
      </c>
      <c r="E180" s="16">
        <f>+E65</f>
        <v>4060</v>
      </c>
      <c r="F180" s="16">
        <f>+F65</f>
        <v>4046.37</v>
      </c>
      <c r="G180" s="16">
        <f>+G65</f>
        <v>4030.13</v>
      </c>
      <c r="H180" s="16">
        <f>+H65</f>
        <v>4011.28</v>
      </c>
      <c r="I180" s="16">
        <f>+I65</f>
        <v>3989.53</v>
      </c>
      <c r="J180" s="134">
        <f t="shared" ref="J180:AC180" si="82">J67</f>
        <v>5947.9</v>
      </c>
      <c r="K180" s="134">
        <f t="shared" si="82"/>
        <v>5907.2999999999993</v>
      </c>
      <c r="L180" s="134">
        <f t="shared" si="82"/>
        <v>5862.6399999999994</v>
      </c>
      <c r="M180" s="134">
        <f t="shared" si="82"/>
        <v>5813.92</v>
      </c>
      <c r="N180" s="134">
        <f t="shared" si="82"/>
        <v>5761.14</v>
      </c>
      <c r="O180" s="134">
        <f t="shared" si="82"/>
        <v>5704.3</v>
      </c>
      <c r="P180" s="134">
        <f t="shared" si="82"/>
        <v>5643.4</v>
      </c>
      <c r="Q180" s="134">
        <f t="shared" si="82"/>
        <v>5578.4400000000005</v>
      </c>
      <c r="R180" s="134">
        <f t="shared" si="82"/>
        <v>5509.42</v>
      </c>
      <c r="S180" s="134">
        <f t="shared" si="82"/>
        <v>5436.34</v>
      </c>
      <c r="T180" s="134">
        <f t="shared" si="82"/>
        <v>5359.2000000000007</v>
      </c>
      <c r="U180" s="134">
        <f t="shared" si="82"/>
        <v>5278</v>
      </c>
      <c r="V180" s="134">
        <f t="shared" si="82"/>
        <v>5192.74</v>
      </c>
      <c r="W180" s="134">
        <f t="shared" si="82"/>
        <v>5103.42</v>
      </c>
      <c r="X180" s="134">
        <f t="shared" si="82"/>
        <v>5010.04</v>
      </c>
      <c r="Y180" s="134">
        <f t="shared" si="82"/>
        <v>4912.6000000000004</v>
      </c>
      <c r="Z180" s="134">
        <f t="shared" si="82"/>
        <v>4811.1000000000004</v>
      </c>
      <c r="AA180" s="134">
        <f t="shared" si="82"/>
        <v>4705.54</v>
      </c>
      <c r="AB180" s="134">
        <f t="shared" si="82"/>
        <v>4595.92</v>
      </c>
      <c r="AC180" s="134">
        <f t="shared" si="82"/>
        <v>4482.24</v>
      </c>
      <c r="AD180" s="17"/>
    </row>
    <row r="181" spans="2:30" x14ac:dyDescent="0.15">
      <c r="B181" s="220"/>
      <c r="C181" s="272"/>
      <c r="D181" s="4" t="s">
        <v>205</v>
      </c>
      <c r="E181" s="16">
        <f>E66</f>
        <v>2030</v>
      </c>
      <c r="F181" s="16">
        <f>F66</f>
        <v>2023.33</v>
      </c>
      <c r="G181" s="16">
        <f>G66</f>
        <v>2015.21</v>
      </c>
      <c r="H181" s="16">
        <f>H66</f>
        <v>2005.64</v>
      </c>
      <c r="I181" s="16">
        <f>I66</f>
        <v>1994.91</v>
      </c>
      <c r="J181" s="289" t="s">
        <v>207</v>
      </c>
      <c r="K181" s="290"/>
      <c r="L181" s="290"/>
      <c r="M181" s="290"/>
      <c r="N181" s="290"/>
      <c r="O181" s="290"/>
      <c r="P181" s="290"/>
      <c r="Q181" s="290"/>
      <c r="R181" s="290"/>
      <c r="S181" s="290"/>
      <c r="T181" s="290"/>
      <c r="U181" s="290"/>
      <c r="V181" s="290"/>
      <c r="W181" s="290"/>
      <c r="X181" s="290"/>
      <c r="Y181" s="290"/>
      <c r="Z181" s="290"/>
      <c r="AA181" s="290"/>
      <c r="AB181" s="290"/>
      <c r="AC181" s="291"/>
      <c r="AD181" s="17"/>
    </row>
    <row r="182" spans="2:30" ht="13.5" customHeight="1" x14ac:dyDescent="0.15">
      <c r="B182" s="220"/>
      <c r="C182" s="273" t="s">
        <v>208</v>
      </c>
      <c r="D182" s="4" t="s">
        <v>204</v>
      </c>
      <c r="E182" s="16">
        <f t="shared" ref="E182:AC182" si="83">E119</f>
        <v>4060</v>
      </c>
      <c r="F182" s="16">
        <f t="shared" si="83"/>
        <v>4046.37</v>
      </c>
      <c r="G182" s="16">
        <f t="shared" si="83"/>
        <v>4030.13</v>
      </c>
      <c r="H182" s="16">
        <f t="shared" si="83"/>
        <v>4011.28</v>
      </c>
      <c r="I182" s="16">
        <f t="shared" si="83"/>
        <v>3989.53</v>
      </c>
      <c r="J182" s="16">
        <f t="shared" si="83"/>
        <v>3965.17</v>
      </c>
      <c r="K182" s="16">
        <f t="shared" si="83"/>
        <v>3938.2</v>
      </c>
      <c r="L182" s="16">
        <f t="shared" si="83"/>
        <v>3908.33</v>
      </c>
      <c r="M182" s="16">
        <f t="shared" si="83"/>
        <v>3875.85</v>
      </c>
      <c r="N182" s="16">
        <f t="shared" si="83"/>
        <v>3840.76</v>
      </c>
      <c r="O182" s="16">
        <f t="shared" si="83"/>
        <v>3802.77</v>
      </c>
      <c r="P182" s="16">
        <f t="shared" si="83"/>
        <v>3762.17</v>
      </c>
      <c r="Q182" s="16">
        <f t="shared" si="83"/>
        <v>3718.96</v>
      </c>
      <c r="R182" s="16">
        <f t="shared" si="83"/>
        <v>3672.85</v>
      </c>
      <c r="S182" s="16">
        <f t="shared" si="83"/>
        <v>3624.13</v>
      </c>
      <c r="T182" s="16">
        <f t="shared" si="83"/>
        <v>3572.8</v>
      </c>
      <c r="U182" s="16">
        <f t="shared" si="83"/>
        <v>3518.57</v>
      </c>
      <c r="V182" s="16">
        <f t="shared" si="83"/>
        <v>3461.73</v>
      </c>
      <c r="W182" s="16">
        <f t="shared" si="83"/>
        <v>3402.28</v>
      </c>
      <c r="X182" s="16">
        <f t="shared" si="83"/>
        <v>3339.93</v>
      </c>
      <c r="Y182" s="16">
        <f t="shared" si="83"/>
        <v>3274.97</v>
      </c>
      <c r="Z182" s="16">
        <f t="shared" si="83"/>
        <v>3207.4</v>
      </c>
      <c r="AA182" s="16">
        <f t="shared" si="83"/>
        <v>3136.93</v>
      </c>
      <c r="AB182" s="16">
        <f t="shared" si="83"/>
        <v>3063.85</v>
      </c>
      <c r="AC182" s="16">
        <f t="shared" si="83"/>
        <v>2988.16</v>
      </c>
      <c r="AD182" s="17"/>
    </row>
    <row r="183" spans="2:30" x14ac:dyDescent="0.15">
      <c r="B183" s="220"/>
      <c r="C183" s="274"/>
      <c r="D183" s="4" t="s">
        <v>205</v>
      </c>
      <c r="E183" s="16">
        <f t="shared" ref="E183:AC183" si="84">E120</f>
        <v>2030</v>
      </c>
      <c r="F183" s="16">
        <f t="shared" si="84"/>
        <v>2023.33</v>
      </c>
      <c r="G183" s="16">
        <f t="shared" si="84"/>
        <v>2015.21</v>
      </c>
      <c r="H183" s="16">
        <f t="shared" si="84"/>
        <v>2005.64</v>
      </c>
      <c r="I183" s="16">
        <f t="shared" si="84"/>
        <v>1994.91</v>
      </c>
      <c r="J183" s="16">
        <f t="shared" si="84"/>
        <v>1982.73</v>
      </c>
      <c r="K183" s="16">
        <f t="shared" si="84"/>
        <v>1969.1</v>
      </c>
      <c r="L183" s="16">
        <f t="shared" si="84"/>
        <v>1954.31</v>
      </c>
      <c r="M183" s="16">
        <f t="shared" si="84"/>
        <v>1938.07</v>
      </c>
      <c r="N183" s="16">
        <f t="shared" si="84"/>
        <v>1920.38</v>
      </c>
      <c r="O183" s="16">
        <f t="shared" si="84"/>
        <v>1901.53</v>
      </c>
      <c r="P183" s="16">
        <f t="shared" si="84"/>
        <v>1881.23</v>
      </c>
      <c r="Q183" s="16">
        <f t="shared" si="84"/>
        <v>1859.48</v>
      </c>
      <c r="R183" s="16">
        <f t="shared" si="84"/>
        <v>1836.57</v>
      </c>
      <c r="S183" s="16">
        <f t="shared" si="84"/>
        <v>1812.21</v>
      </c>
      <c r="T183" s="16">
        <f t="shared" si="84"/>
        <v>1786.4</v>
      </c>
      <c r="U183" s="16">
        <f t="shared" si="84"/>
        <v>1759.43</v>
      </c>
      <c r="V183" s="16">
        <f t="shared" si="84"/>
        <v>1731.01</v>
      </c>
      <c r="W183" s="16">
        <f t="shared" si="84"/>
        <v>1701.14</v>
      </c>
      <c r="X183" s="16">
        <f t="shared" si="84"/>
        <v>1670.11</v>
      </c>
      <c r="Y183" s="16">
        <f t="shared" si="84"/>
        <v>1637.63</v>
      </c>
      <c r="Z183" s="16">
        <f t="shared" si="84"/>
        <v>1603.7</v>
      </c>
      <c r="AA183" s="16">
        <f t="shared" si="84"/>
        <v>1568.61</v>
      </c>
      <c r="AB183" s="16">
        <f t="shared" si="84"/>
        <v>1532.07</v>
      </c>
      <c r="AC183" s="16">
        <f t="shared" si="84"/>
        <v>1494.08</v>
      </c>
      <c r="AD183" s="17"/>
    </row>
    <row r="184" spans="2:30" ht="14.25" customHeight="1" x14ac:dyDescent="0.15">
      <c r="B184" s="268" t="s">
        <v>86</v>
      </c>
      <c r="C184" s="269" t="s">
        <v>203</v>
      </c>
      <c r="D184" s="3" t="s">
        <v>204</v>
      </c>
      <c r="E184" s="135">
        <f t="shared" ref="E184:AC184" si="85">E15</f>
        <v>0.45111111111111113</v>
      </c>
      <c r="F184" s="135">
        <f t="shared" si="85"/>
        <v>0.44959666666666664</v>
      </c>
      <c r="G184" s="135">
        <f t="shared" si="85"/>
        <v>0.44779222222222226</v>
      </c>
      <c r="H184" s="136">
        <f t="shared" si="85"/>
        <v>0.4456977777777778</v>
      </c>
      <c r="I184" s="136">
        <f t="shared" si="85"/>
        <v>0.44328111111111113</v>
      </c>
      <c r="J184" s="136">
        <f t="shared" si="85"/>
        <v>0.44057444444444444</v>
      </c>
      <c r="K184" s="136">
        <f t="shared" si="85"/>
        <v>0.43757777777777773</v>
      </c>
      <c r="L184" s="136">
        <f t="shared" si="85"/>
        <v>0.43425888888888886</v>
      </c>
      <c r="M184" s="136">
        <f t="shared" si="85"/>
        <v>0.43064999999999998</v>
      </c>
      <c r="N184" s="136">
        <f t="shared" si="85"/>
        <v>0.42675111111111114</v>
      </c>
      <c r="O184" s="136">
        <f t="shared" si="85"/>
        <v>0.42253000000000002</v>
      </c>
      <c r="P184" s="136">
        <f t="shared" si="85"/>
        <v>0.68403090909090913</v>
      </c>
      <c r="Q184" s="135">
        <f t="shared" si="85"/>
        <v>0.67617454545454547</v>
      </c>
      <c r="R184" s="135">
        <f t="shared" si="85"/>
        <v>0.6677909090909091</v>
      </c>
      <c r="S184" s="135">
        <f t="shared" si="85"/>
        <v>0.65893272727272734</v>
      </c>
      <c r="T184" s="135">
        <f t="shared" si="85"/>
        <v>0.64960000000000007</v>
      </c>
      <c r="U184" s="135">
        <f t="shared" si="85"/>
        <v>0.63973999999999998</v>
      </c>
      <c r="V184" s="135">
        <f t="shared" si="85"/>
        <v>0.6294054545454546</v>
      </c>
      <c r="W184" s="135">
        <f t="shared" si="85"/>
        <v>0.61859636363636372</v>
      </c>
      <c r="X184" s="135">
        <f t="shared" si="85"/>
        <v>0.60726000000000002</v>
      </c>
      <c r="Y184" s="135">
        <f t="shared" si="85"/>
        <v>0.59544909090909093</v>
      </c>
      <c r="Z184" s="135">
        <f t="shared" si="85"/>
        <v>0.58316363636363633</v>
      </c>
      <c r="AA184" s="135">
        <f t="shared" si="85"/>
        <v>0.57035090909090902</v>
      </c>
      <c r="AB184" s="135">
        <f t="shared" si="85"/>
        <v>0.55706363636363632</v>
      </c>
      <c r="AC184" s="135">
        <f t="shared" si="85"/>
        <v>0.54330181818181811</v>
      </c>
      <c r="AD184" s="16"/>
    </row>
    <row r="185" spans="2:30" x14ac:dyDescent="0.15">
      <c r="B185" s="220"/>
      <c r="C185" s="270"/>
      <c r="D185" s="4" t="s">
        <v>205</v>
      </c>
      <c r="E185" s="135">
        <f t="shared" ref="E185:AC185" si="86">E16</f>
        <v>0.43191489361702129</v>
      </c>
      <c r="F185" s="135">
        <f t="shared" si="86"/>
        <v>0.43049574468085106</v>
      </c>
      <c r="G185" s="135">
        <f t="shared" si="86"/>
        <v>0.42876808510638298</v>
      </c>
      <c r="H185" s="136">
        <f t="shared" si="86"/>
        <v>0.42673191489361706</v>
      </c>
      <c r="I185" s="136">
        <f t="shared" si="86"/>
        <v>0.42444893617021279</v>
      </c>
      <c r="J185" s="136">
        <f t="shared" si="86"/>
        <v>0.66091</v>
      </c>
      <c r="K185" s="136">
        <f t="shared" si="86"/>
        <v>0.65636666666666665</v>
      </c>
      <c r="L185" s="136">
        <f t="shared" si="86"/>
        <v>0.65143666666666666</v>
      </c>
      <c r="M185" s="136">
        <f t="shared" si="86"/>
        <v>0.64602333333333328</v>
      </c>
      <c r="N185" s="136">
        <f t="shared" si="86"/>
        <v>0.64012666666666673</v>
      </c>
      <c r="O185" s="136">
        <f t="shared" si="86"/>
        <v>0.63384333333333331</v>
      </c>
      <c r="P185" s="136">
        <f t="shared" si="86"/>
        <v>0.62707666666666673</v>
      </c>
      <c r="Q185" s="135">
        <f t="shared" si="86"/>
        <v>0.61982666666666664</v>
      </c>
      <c r="R185" s="135">
        <f t="shared" si="86"/>
        <v>0.61219000000000001</v>
      </c>
      <c r="S185" s="135">
        <f t="shared" si="86"/>
        <v>0.60407</v>
      </c>
      <c r="T185" s="135">
        <f t="shared" si="86"/>
        <v>0.5954666666666667</v>
      </c>
      <c r="U185" s="135">
        <f t="shared" si="86"/>
        <v>0.58647666666666665</v>
      </c>
      <c r="V185" s="135">
        <f t="shared" si="86"/>
        <v>0.57700333333333331</v>
      </c>
      <c r="W185" s="135">
        <f t="shared" si="86"/>
        <v>0.5670466666666667</v>
      </c>
      <c r="X185" s="135">
        <f t="shared" si="86"/>
        <v>0.55670333333333333</v>
      </c>
      <c r="Y185" s="135">
        <f t="shared" si="86"/>
        <v>0.54587666666666668</v>
      </c>
      <c r="Z185" s="135">
        <f t="shared" si="86"/>
        <v>0.53456666666666663</v>
      </c>
      <c r="AA185" s="135">
        <f t="shared" si="86"/>
        <v>0.52286999999999995</v>
      </c>
      <c r="AB185" s="135">
        <f t="shared" si="86"/>
        <v>0.51068999999999998</v>
      </c>
      <c r="AC185" s="135">
        <f t="shared" si="86"/>
        <v>0.49802666666666662</v>
      </c>
      <c r="AD185" s="17"/>
    </row>
    <row r="186" spans="2:30" ht="13.5" customHeight="1" x14ac:dyDescent="0.15">
      <c r="B186" s="220"/>
      <c r="C186" s="271" t="s">
        <v>206</v>
      </c>
      <c r="D186" s="4" t="s">
        <v>204</v>
      </c>
      <c r="E186" s="135">
        <f t="shared" ref="E186:AC186" si="87">E68</f>
        <v>0.45111111111111113</v>
      </c>
      <c r="F186" s="135">
        <f t="shared" si="87"/>
        <v>0.44959666666666664</v>
      </c>
      <c r="G186" s="135">
        <f t="shared" si="87"/>
        <v>0.44779222222222226</v>
      </c>
      <c r="H186" s="136">
        <f t="shared" si="87"/>
        <v>0.4456977777777778</v>
      </c>
      <c r="I186" s="136">
        <f t="shared" si="87"/>
        <v>0.44328111111111113</v>
      </c>
      <c r="J186" s="136">
        <f t="shared" si="87"/>
        <v>0.66087777777777779</v>
      </c>
      <c r="K186" s="136">
        <f t="shared" si="87"/>
        <v>0.65636666666666654</v>
      </c>
      <c r="L186" s="136">
        <f t="shared" si="87"/>
        <v>0.65140444444444434</v>
      </c>
      <c r="M186" s="136">
        <f t="shared" si="87"/>
        <v>0.64599111111111107</v>
      </c>
      <c r="N186" s="136">
        <f t="shared" si="87"/>
        <v>0.64012666666666673</v>
      </c>
      <c r="O186" s="136">
        <f t="shared" si="87"/>
        <v>0.6338111111111111</v>
      </c>
      <c r="P186" s="136">
        <f t="shared" si="87"/>
        <v>0.66392941176470588</v>
      </c>
      <c r="Q186" s="135">
        <f t="shared" si="87"/>
        <v>0.65628705882352945</v>
      </c>
      <c r="R186" s="135">
        <f t="shared" si="87"/>
        <v>0.64816705882352943</v>
      </c>
      <c r="S186" s="135">
        <f t="shared" si="87"/>
        <v>0.63956941176470594</v>
      </c>
      <c r="T186" s="135">
        <f t="shared" si="87"/>
        <v>0.63049411764705887</v>
      </c>
      <c r="U186" s="135">
        <f t="shared" si="87"/>
        <v>0.62094117647058822</v>
      </c>
      <c r="V186" s="135">
        <f t="shared" si="87"/>
        <v>0.61091058823529409</v>
      </c>
      <c r="W186" s="135">
        <f t="shared" si="87"/>
        <v>0.6004023529411765</v>
      </c>
      <c r="X186" s="135">
        <f t="shared" si="87"/>
        <v>0.58941647058823532</v>
      </c>
      <c r="Y186" s="135">
        <f t="shared" si="87"/>
        <v>0.57795294117647067</v>
      </c>
      <c r="Z186" s="135">
        <f t="shared" si="87"/>
        <v>0.56601176470588244</v>
      </c>
      <c r="AA186" s="135">
        <f t="shared" si="87"/>
        <v>0.55359294117647062</v>
      </c>
      <c r="AB186" s="135">
        <f t="shared" si="87"/>
        <v>0.54069647058823533</v>
      </c>
      <c r="AC186" s="135">
        <f t="shared" si="87"/>
        <v>0.52732235294117646</v>
      </c>
      <c r="AD186" s="17"/>
    </row>
    <row r="187" spans="2:30" x14ac:dyDescent="0.15">
      <c r="B187" s="220"/>
      <c r="C187" s="272"/>
      <c r="D187" s="4" t="s">
        <v>205</v>
      </c>
      <c r="E187" s="135">
        <f>E69</f>
        <v>0.43191489361702129</v>
      </c>
      <c r="F187" s="135">
        <f>F69</f>
        <v>0.43049574468085106</v>
      </c>
      <c r="G187" s="135">
        <f>G69</f>
        <v>0.42876808510638298</v>
      </c>
      <c r="H187" s="136">
        <f>H69</f>
        <v>0.42673191489361706</v>
      </c>
      <c r="I187" s="136">
        <f>I69</f>
        <v>0.42444893617021279</v>
      </c>
      <c r="J187" s="136"/>
      <c r="K187" s="136"/>
      <c r="L187" s="136"/>
      <c r="M187" s="136"/>
      <c r="N187" s="136"/>
      <c r="O187" s="136"/>
      <c r="P187" s="136"/>
      <c r="Q187" s="135"/>
      <c r="R187" s="135"/>
      <c r="S187" s="135"/>
      <c r="T187" s="135"/>
      <c r="U187" s="135"/>
      <c r="V187" s="135"/>
      <c r="W187" s="135"/>
      <c r="X187" s="135"/>
      <c r="Y187" s="135"/>
      <c r="Z187" s="135"/>
      <c r="AA187" s="135"/>
      <c r="AB187" s="135"/>
      <c r="AC187" s="135"/>
      <c r="AD187" s="17"/>
    </row>
    <row r="188" spans="2:30" ht="13.5" customHeight="1" x14ac:dyDescent="0.15">
      <c r="B188" s="220"/>
      <c r="C188" s="273" t="s">
        <v>208</v>
      </c>
      <c r="D188" s="4" t="s">
        <v>204</v>
      </c>
      <c r="E188" s="135">
        <f t="shared" ref="E188:AC188" si="88">E124</f>
        <v>0.45111111111111113</v>
      </c>
      <c r="F188" s="135">
        <f t="shared" si="88"/>
        <v>0.44959666666666664</v>
      </c>
      <c r="G188" s="135">
        <f t="shared" si="88"/>
        <v>0.44779222222222226</v>
      </c>
      <c r="H188" s="136">
        <f t="shared" si="88"/>
        <v>0.4456977777777778</v>
      </c>
      <c r="I188" s="136">
        <f t="shared" si="88"/>
        <v>0.44328111111111113</v>
      </c>
      <c r="J188" s="136">
        <f t="shared" si="88"/>
        <v>0.44057444444444444</v>
      </c>
      <c r="K188" s="136">
        <f t="shared" si="88"/>
        <v>0.43757777777777773</v>
      </c>
      <c r="L188" s="136">
        <f t="shared" si="88"/>
        <v>0.43425888888888886</v>
      </c>
      <c r="M188" s="136">
        <f t="shared" si="88"/>
        <v>0.43064999999999998</v>
      </c>
      <c r="N188" s="136">
        <f t="shared" si="88"/>
        <v>0.42675111111111114</v>
      </c>
      <c r="O188" s="136">
        <f t="shared" si="88"/>
        <v>0.42253000000000002</v>
      </c>
      <c r="P188" s="136">
        <f t="shared" si="88"/>
        <v>0.68403090909090913</v>
      </c>
      <c r="Q188" s="135">
        <f t="shared" si="88"/>
        <v>0.67617454545454547</v>
      </c>
      <c r="R188" s="135">
        <f t="shared" si="88"/>
        <v>0.6677909090909091</v>
      </c>
      <c r="S188" s="135">
        <f t="shared" si="88"/>
        <v>0.65893272727272734</v>
      </c>
      <c r="T188" s="135">
        <f t="shared" si="88"/>
        <v>0.64960000000000007</v>
      </c>
      <c r="U188" s="135">
        <f t="shared" si="88"/>
        <v>0.63973999999999998</v>
      </c>
      <c r="V188" s="135">
        <f t="shared" si="88"/>
        <v>0.6294054545454546</v>
      </c>
      <c r="W188" s="135">
        <f t="shared" si="88"/>
        <v>0.61859636363636372</v>
      </c>
      <c r="X188" s="135">
        <f t="shared" si="88"/>
        <v>0.60726000000000002</v>
      </c>
      <c r="Y188" s="135">
        <f t="shared" si="88"/>
        <v>0.59544909090909093</v>
      </c>
      <c r="Z188" s="135">
        <f t="shared" si="88"/>
        <v>0.58316363636363633</v>
      </c>
      <c r="AA188" s="135">
        <f t="shared" si="88"/>
        <v>0.57035090909090902</v>
      </c>
      <c r="AB188" s="135">
        <f t="shared" si="88"/>
        <v>0.55706363636363632</v>
      </c>
      <c r="AC188" s="135">
        <f t="shared" si="88"/>
        <v>0.54330181818181811</v>
      </c>
      <c r="AD188" s="17"/>
    </row>
    <row r="189" spans="2:30" x14ac:dyDescent="0.15">
      <c r="B189" s="220"/>
      <c r="C189" s="274"/>
      <c r="D189" s="4" t="s">
        <v>205</v>
      </c>
      <c r="E189" s="135">
        <f t="shared" ref="E189:AC189" si="89">E125</f>
        <v>0.43191489361702129</v>
      </c>
      <c r="F189" s="135">
        <f t="shared" si="89"/>
        <v>0.43049574468085106</v>
      </c>
      <c r="G189" s="135">
        <f t="shared" si="89"/>
        <v>0.42876808510638298</v>
      </c>
      <c r="H189" s="136">
        <f t="shared" si="89"/>
        <v>0.42673191489361706</v>
      </c>
      <c r="I189" s="136">
        <f t="shared" si="89"/>
        <v>0.42444893617021279</v>
      </c>
      <c r="J189" s="136">
        <f t="shared" si="89"/>
        <v>0.66091</v>
      </c>
      <c r="K189" s="136">
        <f t="shared" si="89"/>
        <v>0.65636666666666665</v>
      </c>
      <c r="L189" s="136">
        <f t="shared" si="89"/>
        <v>0.65143666666666666</v>
      </c>
      <c r="M189" s="136">
        <f t="shared" si="89"/>
        <v>0.64602333333333328</v>
      </c>
      <c r="N189" s="136">
        <f t="shared" si="89"/>
        <v>0.64012666666666673</v>
      </c>
      <c r="O189" s="136">
        <f t="shared" si="89"/>
        <v>0.63384333333333331</v>
      </c>
      <c r="P189" s="136">
        <f t="shared" si="89"/>
        <v>0.62707666666666673</v>
      </c>
      <c r="Q189" s="135">
        <f t="shared" si="89"/>
        <v>0.61982666666666664</v>
      </c>
      <c r="R189" s="135">
        <f t="shared" si="89"/>
        <v>0.61219000000000001</v>
      </c>
      <c r="S189" s="135">
        <f t="shared" si="89"/>
        <v>0.60407</v>
      </c>
      <c r="T189" s="135">
        <f t="shared" si="89"/>
        <v>0.5954666666666667</v>
      </c>
      <c r="U189" s="135">
        <f t="shared" si="89"/>
        <v>0.58647666666666665</v>
      </c>
      <c r="V189" s="135">
        <f t="shared" si="89"/>
        <v>0.57700333333333331</v>
      </c>
      <c r="W189" s="135">
        <f t="shared" si="89"/>
        <v>0.5670466666666667</v>
      </c>
      <c r="X189" s="135">
        <f t="shared" si="89"/>
        <v>0.55670333333333333</v>
      </c>
      <c r="Y189" s="135">
        <f t="shared" si="89"/>
        <v>0.54587666666666668</v>
      </c>
      <c r="Z189" s="135">
        <f t="shared" si="89"/>
        <v>0.53456666666666663</v>
      </c>
      <c r="AA189" s="135">
        <f t="shared" si="89"/>
        <v>0.52286999999999995</v>
      </c>
      <c r="AB189" s="135">
        <f t="shared" si="89"/>
        <v>0.51068999999999998</v>
      </c>
      <c r="AC189" s="135">
        <f t="shared" si="89"/>
        <v>0.49802666666666662</v>
      </c>
      <c r="AD189" s="17"/>
    </row>
    <row r="190" spans="2:30" ht="14.25" customHeight="1" x14ac:dyDescent="0.15">
      <c r="B190" s="268" t="s">
        <v>209</v>
      </c>
      <c r="C190" s="269" t="s">
        <v>203</v>
      </c>
      <c r="D190" s="3" t="s">
        <v>204</v>
      </c>
      <c r="E190" s="139">
        <f>$C$173*(E184*100)^$D$173/$E$173</f>
        <v>1</v>
      </c>
      <c r="F190" s="139">
        <f t="shared" ref="F190:AC190" si="90">$C$173*(F15*100)^$D$173/$E$173</f>
        <v>1.0028085039265928</v>
      </c>
      <c r="G190" s="139">
        <f t="shared" si="90"/>
        <v>1.0061775424475379</v>
      </c>
      <c r="H190" s="140">
        <f t="shared" si="90"/>
        <v>1.0101193909711554</v>
      </c>
      <c r="I190" s="140">
        <f t="shared" si="90"/>
        <v>1.0147101039325135</v>
      </c>
      <c r="J190" s="140">
        <f t="shared" si="90"/>
        <v>1.0199065033744492</v>
      </c>
      <c r="K190" s="140">
        <f t="shared" si="90"/>
        <v>1.0257283842924256</v>
      </c>
      <c r="L190" s="140">
        <f t="shared" si="90"/>
        <v>1.0322622116998603</v>
      </c>
      <c r="M190" s="140">
        <f t="shared" si="90"/>
        <v>1.0394716917073248</v>
      </c>
      <c r="N190" s="140">
        <f t="shared" si="90"/>
        <v>1.0473860667594221</v>
      </c>
      <c r="O190" s="140">
        <f t="shared" si="90"/>
        <v>1.0561053987280655</v>
      </c>
      <c r="P190" s="140">
        <f t="shared" si="90"/>
        <v>0.70667430952327004</v>
      </c>
      <c r="Q190" s="139">
        <f t="shared" si="90"/>
        <v>0.71351548884506877</v>
      </c>
      <c r="R190" s="139">
        <f t="shared" si="90"/>
        <v>0.72097844359345853</v>
      </c>
      <c r="S190" s="139">
        <f t="shared" si="90"/>
        <v>0.72905282960701245</v>
      </c>
      <c r="T190" s="139">
        <f t="shared" si="90"/>
        <v>0.73777796747194935</v>
      </c>
      <c r="U190" s="139">
        <f t="shared" si="90"/>
        <v>0.7472493313949955</v>
      </c>
      <c r="V190" s="139">
        <f t="shared" si="90"/>
        <v>0.75746822653504486</v>
      </c>
      <c r="W190" s="139">
        <f t="shared" si="90"/>
        <v>0.76849088126439646</v>
      </c>
      <c r="X190" s="139">
        <f t="shared" si="90"/>
        <v>0.78043723209580973</v>
      </c>
      <c r="Y190" s="139">
        <f t="shared" si="90"/>
        <v>0.79332662915382468</v>
      </c>
      <c r="Z190" s="139">
        <f t="shared" si="90"/>
        <v>0.80724104516791317</v>
      </c>
      <c r="AA190" s="139">
        <f t="shared" si="90"/>
        <v>0.82233716042227889</v>
      </c>
      <c r="AB190" s="139">
        <f t="shared" si="90"/>
        <v>0.83866370380241695</v>
      </c>
      <c r="AC190" s="139">
        <f t="shared" si="90"/>
        <v>0.85634375122264916</v>
      </c>
      <c r="AD190" s="16"/>
    </row>
    <row r="191" spans="2:30" x14ac:dyDescent="0.15">
      <c r="B191" s="220"/>
      <c r="C191" s="270"/>
      <c r="D191" s="4" t="s">
        <v>205</v>
      </c>
      <c r="E191" s="139">
        <f t="shared" ref="E191:AC191" si="91">$C$174*(E16*100)^$D$174/$E$174</f>
        <v>1</v>
      </c>
      <c r="F191" s="139">
        <f t="shared" si="91"/>
        <v>1.002840976920524</v>
      </c>
      <c r="G191" s="139">
        <f t="shared" si="91"/>
        <v>1.0063231830785704</v>
      </c>
      <c r="H191" s="139">
        <f t="shared" si="91"/>
        <v>1.0104609016440249</v>
      </c>
      <c r="I191" s="139">
        <f t="shared" si="91"/>
        <v>1.0151440974140296</v>
      </c>
      <c r="J191" s="139">
        <f t="shared" si="91"/>
        <v>0.69302762840773824</v>
      </c>
      <c r="K191" s="139">
        <f t="shared" si="91"/>
        <v>0.69716075746418182</v>
      </c>
      <c r="L191" s="139">
        <f t="shared" si="91"/>
        <v>0.70170633140257754</v>
      </c>
      <c r="M191" s="139">
        <f t="shared" si="91"/>
        <v>0.70677190754058383</v>
      </c>
      <c r="N191" s="139">
        <f t="shared" si="91"/>
        <v>0.71238047612287358</v>
      </c>
      <c r="O191" s="139">
        <f t="shared" si="91"/>
        <v>0.71846366637572046</v>
      </c>
      <c r="P191" s="139">
        <f t="shared" si="91"/>
        <v>0.72514163007202381</v>
      </c>
      <c r="Q191" s="139">
        <f t="shared" si="91"/>
        <v>0.73244710994738937</v>
      </c>
      <c r="R191" s="139">
        <f t="shared" si="91"/>
        <v>0.74031627992598015</v>
      </c>
      <c r="S191" s="139">
        <f t="shared" si="91"/>
        <v>0.74888650780054566</v>
      </c>
      <c r="T191" s="139">
        <f t="shared" si="91"/>
        <v>0.7582040582461318</v>
      </c>
      <c r="U191" s="139">
        <f t="shared" si="91"/>
        <v>0.76821201418197593</v>
      </c>
      <c r="V191" s="139">
        <f t="shared" si="91"/>
        <v>0.77907185920660349</v>
      </c>
      <c r="W191" s="139">
        <f t="shared" si="91"/>
        <v>0.79084946282195734</v>
      </c>
      <c r="X191" s="139">
        <f t="shared" si="91"/>
        <v>0.80349928904809376</v>
      </c>
      <c r="Y191" s="139">
        <f t="shared" si="91"/>
        <v>0.81721766444916077</v>
      </c>
      <c r="Z191" s="139">
        <f t="shared" si="91"/>
        <v>0.83210017880967435</v>
      </c>
      <c r="AA191" s="139">
        <f t="shared" si="91"/>
        <v>0.84812104642942721</v>
      </c>
      <c r="AB191" s="139">
        <f t="shared" si="91"/>
        <v>0.86552893700247313</v>
      </c>
      <c r="AC191" s="139">
        <f t="shared" si="91"/>
        <v>0.88446671144230526</v>
      </c>
      <c r="AD191" s="17"/>
    </row>
    <row r="192" spans="2:30" ht="13.5" customHeight="1" x14ac:dyDescent="0.15">
      <c r="B192" s="220"/>
      <c r="C192" s="271" t="s">
        <v>206</v>
      </c>
      <c r="D192" s="4" t="s">
        <v>204</v>
      </c>
      <c r="E192" s="139">
        <f t="shared" ref="E192:AC192" si="92">$C$173*(E68*100)^$D$173/$E$173</f>
        <v>1</v>
      </c>
      <c r="F192" s="139">
        <f t="shared" si="92"/>
        <v>1.0028085039265928</v>
      </c>
      <c r="G192" s="139">
        <f t="shared" si="92"/>
        <v>1.0061775424475379</v>
      </c>
      <c r="H192" s="139">
        <f t="shared" si="92"/>
        <v>1.0101193909711554</v>
      </c>
      <c r="I192" s="139">
        <f t="shared" si="92"/>
        <v>1.0147101039325135</v>
      </c>
      <c r="J192" s="139">
        <f t="shared" si="92"/>
        <v>0.72726287926621358</v>
      </c>
      <c r="K192" s="139">
        <f t="shared" si="92"/>
        <v>0.73142914844104845</v>
      </c>
      <c r="L192" s="139">
        <f t="shared" si="92"/>
        <v>0.73607312412887926</v>
      </c>
      <c r="M192" s="139">
        <f t="shared" si="92"/>
        <v>0.74121384530790058</v>
      </c>
      <c r="N192" s="139">
        <f t="shared" si="92"/>
        <v>0.74687286676514397</v>
      </c>
      <c r="O192" s="139">
        <f t="shared" si="92"/>
        <v>0.75307450600197401</v>
      </c>
      <c r="P192" s="139">
        <f t="shared" si="92"/>
        <v>0.72447397277745318</v>
      </c>
      <c r="Q192" s="139">
        <f t="shared" si="92"/>
        <v>0.73150314234795466</v>
      </c>
      <c r="R192" s="139">
        <f t="shared" si="92"/>
        <v>0.73913801319915717</v>
      </c>
      <c r="S192" s="139">
        <f t="shared" si="92"/>
        <v>0.74741555142786797</v>
      </c>
      <c r="T192" s="139">
        <f t="shared" si="92"/>
        <v>0.7563772756137106</v>
      </c>
      <c r="U192" s="139">
        <f t="shared" si="92"/>
        <v>0.76606985896375035</v>
      </c>
      <c r="V192" s="139">
        <f t="shared" si="92"/>
        <v>0.77654583923912213</v>
      </c>
      <c r="W192" s="139">
        <f t="shared" si="92"/>
        <v>0.78786445886491452</v>
      </c>
      <c r="X192" s="139">
        <f t="shared" si="92"/>
        <v>0.80009266322109618</v>
      </c>
      <c r="Y192" s="139">
        <f t="shared" si="92"/>
        <v>0.81330629232578122</v>
      </c>
      <c r="Z192" s="139">
        <f t="shared" si="92"/>
        <v>0.82759151049178703</v>
      </c>
      <c r="AA192" s="139">
        <f t="shared" si="92"/>
        <v>0.84304653080696801</v>
      </c>
      <c r="AB192" s="139">
        <f t="shared" si="92"/>
        <v>0.85978370749471811</v>
      </c>
      <c r="AC192" s="139">
        <f t="shared" si="92"/>
        <v>0.87793209081326939</v>
      </c>
      <c r="AD192" s="17"/>
    </row>
    <row r="193" spans="2:30" x14ac:dyDescent="0.15">
      <c r="B193" s="220"/>
      <c r="C193" s="272"/>
      <c r="D193" s="4" t="s">
        <v>205</v>
      </c>
      <c r="E193" s="139">
        <f>$C$174*(E69*100)^$D$174/$E$174</f>
        <v>1</v>
      </c>
      <c r="F193" s="139">
        <f>$C$174*(F69*100)^$D$174/$E$174</f>
        <v>1.002840976920524</v>
      </c>
      <c r="G193" s="139">
        <f>$C$174*(G69*100)^$D$174/$E$174</f>
        <v>1.0063231830785704</v>
      </c>
      <c r="H193" s="139">
        <f>$C$174*(H69*100)^$D$174/$E$174</f>
        <v>1.0104609016440249</v>
      </c>
      <c r="I193" s="139">
        <f>$C$174*(I69*100)^$D$174/$E$174</f>
        <v>1.0151440974140296</v>
      </c>
      <c r="J193" s="139"/>
      <c r="K193" s="139"/>
      <c r="L193" s="139"/>
      <c r="M193" s="139"/>
      <c r="N193" s="139"/>
      <c r="O193" s="139"/>
      <c r="P193" s="139"/>
      <c r="Q193" s="139"/>
      <c r="R193" s="139"/>
      <c r="S193" s="139"/>
      <c r="T193" s="139"/>
      <c r="U193" s="139"/>
      <c r="V193" s="139"/>
      <c r="W193" s="139"/>
      <c r="X193" s="139"/>
      <c r="Y193" s="139"/>
      <c r="Z193" s="139"/>
      <c r="AA193" s="139"/>
      <c r="AB193" s="139"/>
      <c r="AC193" s="139"/>
      <c r="AD193" s="17"/>
    </row>
    <row r="194" spans="2:30" ht="13.5" customHeight="1" x14ac:dyDescent="0.15">
      <c r="B194" s="220"/>
      <c r="C194" s="273" t="s">
        <v>208</v>
      </c>
      <c r="D194" s="4" t="s">
        <v>204</v>
      </c>
      <c r="E194" s="139">
        <f t="shared" ref="E194:AC194" si="93">$C$173*(E124*100)^$D$173/$E$173</f>
        <v>1</v>
      </c>
      <c r="F194" s="139">
        <f t="shared" si="93"/>
        <v>1.0028085039265928</v>
      </c>
      <c r="G194" s="139">
        <f t="shared" si="93"/>
        <v>1.0061775424475379</v>
      </c>
      <c r="H194" s="139">
        <f t="shared" si="93"/>
        <v>1.0101193909711554</v>
      </c>
      <c r="I194" s="139">
        <f t="shared" si="93"/>
        <v>1.0147101039325135</v>
      </c>
      <c r="J194" s="139">
        <f t="shared" si="93"/>
        <v>1.0199065033744492</v>
      </c>
      <c r="K194" s="139">
        <f t="shared" si="93"/>
        <v>1.0257283842924256</v>
      </c>
      <c r="L194" s="139">
        <f t="shared" si="93"/>
        <v>1.0322622116998603</v>
      </c>
      <c r="M194" s="139">
        <f t="shared" si="93"/>
        <v>1.0394716917073248</v>
      </c>
      <c r="N194" s="139">
        <f t="shared" si="93"/>
        <v>1.0473860667594221</v>
      </c>
      <c r="O194" s="139">
        <f t="shared" si="93"/>
        <v>1.0561053987280655</v>
      </c>
      <c r="P194" s="139">
        <f t="shared" si="93"/>
        <v>0.70667430952327004</v>
      </c>
      <c r="Q194" s="139">
        <f t="shared" si="93"/>
        <v>0.71351548884506877</v>
      </c>
      <c r="R194" s="139">
        <f t="shared" si="93"/>
        <v>0.72097844359345853</v>
      </c>
      <c r="S194" s="139">
        <f t="shared" si="93"/>
        <v>0.72905282960701245</v>
      </c>
      <c r="T194" s="139">
        <f t="shared" si="93"/>
        <v>0.73777796747194935</v>
      </c>
      <c r="U194" s="139">
        <f t="shared" si="93"/>
        <v>0.7472493313949955</v>
      </c>
      <c r="V194" s="139">
        <f t="shared" si="93"/>
        <v>0.75746822653504486</v>
      </c>
      <c r="W194" s="139">
        <f t="shared" si="93"/>
        <v>0.76849088126439646</v>
      </c>
      <c r="X194" s="139">
        <f t="shared" si="93"/>
        <v>0.78043723209580973</v>
      </c>
      <c r="Y194" s="139">
        <f t="shared" si="93"/>
        <v>0.79332662915382468</v>
      </c>
      <c r="Z194" s="139">
        <f t="shared" si="93"/>
        <v>0.80724104516791317</v>
      </c>
      <c r="AA194" s="139">
        <f t="shared" si="93"/>
        <v>0.82233716042227889</v>
      </c>
      <c r="AB194" s="139">
        <f t="shared" si="93"/>
        <v>0.83866370380241695</v>
      </c>
      <c r="AC194" s="139">
        <f t="shared" si="93"/>
        <v>0.85634375122264916</v>
      </c>
      <c r="AD194" s="17"/>
    </row>
    <row r="195" spans="2:30" x14ac:dyDescent="0.15">
      <c r="B195" s="221"/>
      <c r="C195" s="287"/>
      <c r="D195" s="137" t="s">
        <v>205</v>
      </c>
      <c r="E195" s="141">
        <f t="shared" ref="E195:AC195" si="94">$C$174*(E125*100)^$D$174/$E$174</f>
        <v>1</v>
      </c>
      <c r="F195" s="141">
        <f t="shared" si="94"/>
        <v>1.002840976920524</v>
      </c>
      <c r="G195" s="141">
        <f t="shared" si="94"/>
        <v>1.0063231830785704</v>
      </c>
      <c r="H195" s="141">
        <f t="shared" si="94"/>
        <v>1.0104609016440249</v>
      </c>
      <c r="I195" s="141">
        <f t="shared" si="94"/>
        <v>1.0151440974140296</v>
      </c>
      <c r="J195" s="141">
        <f t="shared" si="94"/>
        <v>0.69302762840773824</v>
      </c>
      <c r="K195" s="141">
        <f t="shared" si="94"/>
        <v>0.69716075746418182</v>
      </c>
      <c r="L195" s="141">
        <f t="shared" si="94"/>
        <v>0.70170633140257754</v>
      </c>
      <c r="M195" s="141">
        <f t="shared" si="94"/>
        <v>0.70677190754058383</v>
      </c>
      <c r="N195" s="141">
        <f t="shared" si="94"/>
        <v>0.71238047612287358</v>
      </c>
      <c r="O195" s="141">
        <f t="shared" si="94"/>
        <v>0.71846366637572046</v>
      </c>
      <c r="P195" s="141">
        <f t="shared" si="94"/>
        <v>0.72514163007202381</v>
      </c>
      <c r="Q195" s="141">
        <f t="shared" si="94"/>
        <v>0.73244710994738937</v>
      </c>
      <c r="R195" s="141">
        <f t="shared" si="94"/>
        <v>0.74031627992598015</v>
      </c>
      <c r="S195" s="141">
        <f t="shared" si="94"/>
        <v>0.74888650780054566</v>
      </c>
      <c r="T195" s="141">
        <f t="shared" si="94"/>
        <v>0.7582040582461318</v>
      </c>
      <c r="U195" s="141">
        <f t="shared" si="94"/>
        <v>0.76821201418197593</v>
      </c>
      <c r="V195" s="141">
        <f t="shared" si="94"/>
        <v>0.77907185920660349</v>
      </c>
      <c r="W195" s="141">
        <f t="shared" si="94"/>
        <v>0.79084946282195734</v>
      </c>
      <c r="X195" s="141">
        <f t="shared" si="94"/>
        <v>0.80349928904809376</v>
      </c>
      <c r="Y195" s="141">
        <f t="shared" si="94"/>
        <v>0.81721766444916077</v>
      </c>
      <c r="Z195" s="141">
        <f t="shared" si="94"/>
        <v>0.83210017880967435</v>
      </c>
      <c r="AA195" s="141">
        <f t="shared" si="94"/>
        <v>0.84812104642942721</v>
      </c>
      <c r="AB195" s="141">
        <f t="shared" si="94"/>
        <v>0.86552893700247313</v>
      </c>
      <c r="AC195" s="141">
        <f t="shared" si="94"/>
        <v>0.88446671144230526</v>
      </c>
      <c r="AD195" s="138"/>
    </row>
    <row r="196" spans="2:30" ht="13.5" customHeight="1" x14ac:dyDescent="0.15">
      <c r="B196" s="226" t="s">
        <v>210</v>
      </c>
      <c r="C196" s="293" t="s">
        <v>203</v>
      </c>
      <c r="D196" s="4" t="s">
        <v>204</v>
      </c>
      <c r="E196" s="106">
        <f>E178*G173*E190*365/1000</f>
        <v>1086.7266666666667</v>
      </c>
      <c r="F196" s="106">
        <f>F178*G173*F190*365/1000</f>
        <v>1086.1201998549527</v>
      </c>
      <c r="G196" s="106">
        <f>G178*G173*G190*365/1000</f>
        <v>1085.3953727375699</v>
      </c>
      <c r="H196" s="106">
        <f>H178*G173*H190*365/1000</f>
        <v>1084.5509945412221</v>
      </c>
      <c r="I196" s="106">
        <f>I178*G173*I190*365/1000</f>
        <v>1083.5725899854435</v>
      </c>
      <c r="J196" s="106">
        <f>J178*G173*J190*365/1000</f>
        <v>1082.4714813327225</v>
      </c>
      <c r="K196" s="106">
        <f>K178*G173*K190*365/1000</f>
        <v>1081.2457963284685</v>
      </c>
      <c r="L196" s="106">
        <f>L178*G173*L190*365/1000</f>
        <v>1079.8801199972972</v>
      </c>
      <c r="M196" s="106">
        <f>M178*G173*M190*365/1000</f>
        <v>1078.3851980373265</v>
      </c>
      <c r="N196" s="106">
        <f>N178*G173*N190*365/1000</f>
        <v>1076.7583611142786</v>
      </c>
      <c r="O196" s="106">
        <f>O178*G173*O190*365/1000</f>
        <v>1074.9830398260881</v>
      </c>
      <c r="P196" s="106">
        <f>P178*G173*P190*365/1000</f>
        <v>711.62633210283536</v>
      </c>
      <c r="Q196" s="106">
        <f>Q178*G173*Q190*365/1000</f>
        <v>710.26301886779709</v>
      </c>
      <c r="R196" s="106">
        <f>R178*G173*R190*365/1000</f>
        <v>708.79355942381471</v>
      </c>
      <c r="S196" s="106">
        <f>S178*G173*S190*365/1000</f>
        <v>707.22411059500701</v>
      </c>
      <c r="T196" s="106">
        <f>T178*G173*T190*365/1000</f>
        <v>705.55143237119205</v>
      </c>
      <c r="U196" s="106">
        <f>U178*G173*U190*365/1000</f>
        <v>703.7623370710304</v>
      </c>
      <c r="V196" s="106">
        <f>V178*G173*V190*365/1000</f>
        <v>701.86227950868613</v>
      </c>
      <c r="W196" s="106">
        <f>W178*G173*W190*365/1000</f>
        <v>699.84692929103642</v>
      </c>
      <c r="X196" s="106">
        <f>X178*G173*X190*365/1000</f>
        <v>697.70146561626257</v>
      </c>
      <c r="Y196" s="106">
        <f>Y178*G173*Y190*365/1000</f>
        <v>695.43036375865347</v>
      </c>
      <c r="Z196" s="106">
        <f>Z178*G173*Z190*365/1000</f>
        <v>693.02779246735565</v>
      </c>
      <c r="AA196" s="106">
        <f>AA178*G173*AA190*365/1000</f>
        <v>690.47670974689936</v>
      </c>
      <c r="AB196" s="106">
        <f>AB178*G173*AB190*365/1000</f>
        <v>687.78015016090444</v>
      </c>
      <c r="AC196" s="106">
        <f>AC178*G173*AC190*365/1000</f>
        <v>684.93013045124576</v>
      </c>
      <c r="AD196" s="17">
        <f>SUM(E196:AC196)</f>
        <v>21698.366431854753</v>
      </c>
    </row>
    <row r="197" spans="2:30" x14ac:dyDescent="0.15">
      <c r="B197" s="220"/>
      <c r="C197" s="270"/>
      <c r="D197" s="4" t="s">
        <v>205</v>
      </c>
      <c r="E197" s="106">
        <f>E179*G174*E191*365/1000</f>
        <v>642.15666666666664</v>
      </c>
      <c r="F197" s="106">
        <f>F179*G174*F191*365/1000</f>
        <v>641.8650813023803</v>
      </c>
      <c r="G197" s="106">
        <f>G179*G174*G191*365/1000</f>
        <v>641.50898738046851</v>
      </c>
      <c r="H197" s="106">
        <f>H179*G174*H191*365/1000</f>
        <v>641.08771394396081</v>
      </c>
      <c r="I197" s="106">
        <f>I179*G174*I191*365/1000</f>
        <v>640.61331156407937</v>
      </c>
      <c r="J197" s="106">
        <f>J179*G174*J191*365/1000</f>
        <v>434.66941650651938</v>
      </c>
      <c r="K197" s="106">
        <f>K179*G174*K191*365/1000</f>
        <v>434.25583529968719</v>
      </c>
      <c r="L197" s="106">
        <f>L179*G174*L191*365/1000</f>
        <v>433.80425459889307</v>
      </c>
      <c r="M197" s="106">
        <f>M179*G174*M191*365/1000</f>
        <v>433.30499529132436</v>
      </c>
      <c r="N197" s="106">
        <f>N179*G174*N191*365/1000</f>
        <v>432.75703886042169</v>
      </c>
      <c r="O197" s="106">
        <f>O179*G174*O191*365/1000</f>
        <v>432.1683415105764</v>
      </c>
      <c r="P197" s="106">
        <f>P179*G174*P191*365/1000</f>
        <v>431.52870703821105</v>
      </c>
      <c r="Q197" s="106">
        <f>Q179*G174*Q191*365/1000</f>
        <v>430.83674788423929</v>
      </c>
      <c r="R197" s="106">
        <f>R179*G174*R191*365/1000</f>
        <v>430.10029801408353</v>
      </c>
      <c r="S197" s="106">
        <f>S179*G174*S191*365/1000</f>
        <v>429.3084992559547</v>
      </c>
      <c r="T197" s="106">
        <f>T179*G174*T191*365/1000</f>
        <v>428.45949581289813</v>
      </c>
      <c r="U197" s="106">
        <f>U179*G174*U191*365/1000</f>
        <v>427.56096188082404</v>
      </c>
      <c r="V197" s="106">
        <f>V179*G174*V191*365/1000</f>
        <v>426.60117962531871</v>
      </c>
      <c r="W197" s="106">
        <f>W179*G174*W191*365/1000</f>
        <v>425.57767559017071</v>
      </c>
      <c r="X197" s="106">
        <f>X179*G174*X191*365/1000</f>
        <v>424.49788518429131</v>
      </c>
      <c r="Y197" s="106">
        <f>Y179*G174*Y191*365/1000</f>
        <v>423.34895182548445</v>
      </c>
      <c r="Z197" s="106">
        <f>Z179*G174*Z191*365/1000</f>
        <v>422.12755495415468</v>
      </c>
      <c r="AA197" s="106">
        <f>AA179*G174*AA191*365/1000</f>
        <v>420.84074191768025</v>
      </c>
      <c r="AB197" s="106">
        <f>AB179*G174*AB191*365/1000</f>
        <v>419.47410722306552</v>
      </c>
      <c r="AC197" s="106">
        <f>AC179*G174*AC191*365/1000</f>
        <v>418.0231196653005</v>
      </c>
      <c r="AD197" s="17">
        <f t="shared" ref="AD197:AD201" si="95">SUM(E197:AC197)</f>
        <v>11766.477568796658</v>
      </c>
    </row>
    <row r="198" spans="2:30" ht="13.5" customHeight="1" x14ac:dyDescent="0.15">
      <c r="B198" s="220"/>
      <c r="C198" s="271" t="s">
        <v>206</v>
      </c>
      <c r="D198" s="4" t="s">
        <v>204</v>
      </c>
      <c r="E198" s="106">
        <f>E180*G173*E192*365/1000</f>
        <v>1086.7266666666667</v>
      </c>
      <c r="F198" s="106">
        <f>F180*G173*F192*365/1000</f>
        <v>1086.1201998549527</v>
      </c>
      <c r="G198" s="106">
        <f>G180*G173*G192*365/1000</f>
        <v>1085.3953727375699</v>
      </c>
      <c r="H198" s="106">
        <f>H180*G173*H192*365/1000</f>
        <v>1084.5509945412221</v>
      </c>
      <c r="I198" s="106">
        <f>I180*G173*I192*365/1000</f>
        <v>1083.5725899854435</v>
      </c>
      <c r="J198" s="106">
        <f>J180*G173*J192*365/1000</f>
        <v>1157.842188102924</v>
      </c>
      <c r="K198" s="106">
        <f>K180*G173*K192*365/1000</f>
        <v>1156.5264803648004</v>
      </c>
      <c r="L198" s="106">
        <f>L180*G173*L192*365/1000</f>
        <v>1155.0704625252249</v>
      </c>
      <c r="M198" s="106">
        <f>M180*G173*M192*365/1000</f>
        <v>1153.4714912028485</v>
      </c>
      <c r="N198" s="106">
        <f>N180*G173*N192*365/1000</f>
        <v>1151.7266118503933</v>
      </c>
      <c r="O198" s="106">
        <f>O180*G173*O192*365/1000</f>
        <v>1149.8325374611368</v>
      </c>
      <c r="P198" s="106">
        <f>P180*G173*P192*365/1000</f>
        <v>1094.3542078772468</v>
      </c>
      <c r="Q198" s="106">
        <f>Q180*G173*Q192*365/1000</f>
        <v>1092.2530168959397</v>
      </c>
      <c r="R198" s="106">
        <f>R180*G173*R192*365/1000</f>
        <v>1089.9980224672665</v>
      </c>
      <c r="S198" s="106">
        <f>S180*G173*S192*365/1000</f>
        <v>1087.5845540853497</v>
      </c>
      <c r="T198" s="106">
        <f>T180*G173*T192*365/1000</f>
        <v>1085.0074692205353</v>
      </c>
      <c r="U198" s="106">
        <f>U180*G173*U192*365/1000</f>
        <v>1082.2611075451241</v>
      </c>
      <c r="V198" s="106">
        <f>V180*G173*V192*365/1000</f>
        <v>1079.3392383080663</v>
      </c>
      <c r="W198" s="106">
        <f>W180*G173*W192*365/1000</f>
        <v>1076.2349996794289</v>
      </c>
      <c r="X198" s="106">
        <f>X180*G173*X192*365/1000</f>
        <v>1072.9408286315697</v>
      </c>
      <c r="Y198" s="106">
        <f>Y180*G173*Y192*365/1000</f>
        <v>1069.4483796062486</v>
      </c>
      <c r="Z198" s="106">
        <f>Z180*G173*Z192*365/1000</f>
        <v>1065.7484298166703</v>
      </c>
      <c r="AA198" s="106">
        <f>AA180*G173*AA192*365/1000</f>
        <v>1061.8307685254856</v>
      </c>
      <c r="AB198" s="106">
        <f>AB180*G173*AB192*365/1000</f>
        <v>1057.6840669900491</v>
      </c>
      <c r="AC198" s="106">
        <f>AC180*G173*AC192*365/1000</f>
        <v>1053.2957249285587</v>
      </c>
      <c r="AD198" s="17">
        <f t="shared" si="95"/>
        <v>27418.816409870724</v>
      </c>
    </row>
    <row r="199" spans="2:30" x14ac:dyDescent="0.15">
      <c r="B199" s="220"/>
      <c r="C199" s="272"/>
      <c r="D199" s="4" t="s">
        <v>205</v>
      </c>
      <c r="E199" s="106">
        <f>E181*G174*E193*365/1000</f>
        <v>642.15666666666664</v>
      </c>
      <c r="F199" s="106">
        <f>F181*G174*F193*365/1000</f>
        <v>641.8650813023803</v>
      </c>
      <c r="G199" s="106">
        <f>G181*G174*G193*365/1000</f>
        <v>641.50898738046851</v>
      </c>
      <c r="H199" s="106">
        <f>H181*G174*H193*365/1000</f>
        <v>641.08771394396081</v>
      </c>
      <c r="I199" s="106">
        <f>I181*G174*I193*365/1000</f>
        <v>640.61331156407937</v>
      </c>
      <c r="J199" s="106">
        <v>0</v>
      </c>
      <c r="K199" s="106">
        <v>0</v>
      </c>
      <c r="L199" s="106">
        <v>0</v>
      </c>
      <c r="M199" s="106">
        <v>0</v>
      </c>
      <c r="N199" s="106">
        <v>0</v>
      </c>
      <c r="O199" s="106">
        <v>0</v>
      </c>
      <c r="P199" s="106">
        <v>0</v>
      </c>
      <c r="Q199" s="106">
        <v>0</v>
      </c>
      <c r="R199" s="106">
        <v>0</v>
      </c>
      <c r="S199" s="106">
        <v>0</v>
      </c>
      <c r="T199" s="106">
        <v>0</v>
      </c>
      <c r="U199" s="106">
        <v>0</v>
      </c>
      <c r="V199" s="106">
        <v>0</v>
      </c>
      <c r="W199" s="106">
        <v>0</v>
      </c>
      <c r="X199" s="106">
        <v>0</v>
      </c>
      <c r="Y199" s="106">
        <v>0</v>
      </c>
      <c r="Z199" s="106">
        <v>0</v>
      </c>
      <c r="AA199" s="106">
        <v>0</v>
      </c>
      <c r="AB199" s="106">
        <v>0</v>
      </c>
      <c r="AC199" s="106">
        <v>0</v>
      </c>
      <c r="AD199" s="17">
        <f t="shared" si="95"/>
        <v>3207.2317608575559</v>
      </c>
    </row>
    <row r="200" spans="2:30" ht="13.5" customHeight="1" x14ac:dyDescent="0.15">
      <c r="B200" s="220"/>
      <c r="C200" s="275" t="s">
        <v>208</v>
      </c>
      <c r="D200" s="4" t="s">
        <v>204</v>
      </c>
      <c r="E200" s="106">
        <f>E182*G173*E194*365/1000</f>
        <v>1086.7266666666667</v>
      </c>
      <c r="F200" s="106">
        <f>F182*G173*F194*365/1000</f>
        <v>1086.1201998549527</v>
      </c>
      <c r="G200" s="106">
        <f>G182*G173*G194*365/1000</f>
        <v>1085.3953727375699</v>
      </c>
      <c r="H200" s="106">
        <f>H182*G173*H194*365/1000</f>
        <v>1084.5509945412221</v>
      </c>
      <c r="I200" s="106">
        <f>I182*G173*I194*365/1000</f>
        <v>1083.5725899854435</v>
      </c>
      <c r="J200" s="106">
        <f>J182*G173*J194*365/1000+J201*(0.1/0.9)</f>
        <v>1125.9384229833745</v>
      </c>
      <c r="K200" s="106">
        <f>K182*G173*K194*365/1000+K201*(0.1/0.9)</f>
        <v>1124.6713798584371</v>
      </c>
      <c r="L200" s="106">
        <f>L182*G173*L194*365/1000+L201*(0.1/0.9)</f>
        <v>1123.2605454571865</v>
      </c>
      <c r="M200" s="106">
        <f>M182*G173*M194*365/1000+M201*(0.1/0.9)</f>
        <v>1121.7156975664589</v>
      </c>
      <c r="N200" s="106">
        <f>N182*G173*N194*365/1000+N201*(0.1/0.9)</f>
        <v>1120.0340650003209</v>
      </c>
      <c r="O200" s="106">
        <f>O182*G173*O194*365/1000+O201*(0.1/0.9)</f>
        <v>1118.1998739771457</v>
      </c>
      <c r="P200" s="106">
        <f>P182*G173*P194*365/1000+P201*(0.1/0.9)</f>
        <v>754.77920280665649</v>
      </c>
      <c r="Q200" s="106">
        <f>Q182*G173*Q194*365/1000+Q201*(0.1/0.9)</f>
        <v>753.34669365622108</v>
      </c>
      <c r="R200" s="106">
        <f>R182*G173*R194*365/1000+R201*(0.1/0.9)</f>
        <v>751.80358922522305</v>
      </c>
      <c r="S200" s="106">
        <f>S182*G173*S194*365/1000+S201*(0.1/0.9)</f>
        <v>750.15496052060246</v>
      </c>
      <c r="T200" s="106">
        <f>T182*G173*T194*365/1000+T201*(0.1/0.9)</f>
        <v>748.39738195248185</v>
      </c>
      <c r="U200" s="106">
        <f>U182*G173*U194*365/1000+U201*(0.1/0.9)</f>
        <v>746.51843325911284</v>
      </c>
      <c r="V200" s="106">
        <f>V182*G173*V194*365/1000+V201*(0.1/0.9)</f>
        <v>744.52239747121803</v>
      </c>
      <c r="W200" s="106">
        <f>W182*G173*W194*365/1000+W201*(0.1/0.9)</f>
        <v>742.40469685005348</v>
      </c>
      <c r="X200" s="106">
        <f>X182*G173*X194*365/1000+X201*(0.1/0.9)</f>
        <v>740.15125413469173</v>
      </c>
      <c r="Y200" s="106">
        <f>Y182*G173*Y194*365/1000+Y201*(0.1/0.9)</f>
        <v>737.76525894120186</v>
      </c>
      <c r="Z200" s="106">
        <f>Z182*G173*Z194*365/1000+Z201*(0.1/0.9)</f>
        <v>735.24054796277107</v>
      </c>
      <c r="AA200" s="106">
        <f>AA182*G173*AA194*365/1000+AA201*(0.1/0.9)</f>
        <v>732.56078393866733</v>
      </c>
      <c r="AB200" s="106">
        <f>AB182*G173*AB194*365/1000+AB201*(0.1/0.9)</f>
        <v>729.72756088321103</v>
      </c>
      <c r="AC200" s="106">
        <f>AC182*G173*AC194*365/1000+AC201*(0.1/0.9)</f>
        <v>726.73244241777581</v>
      </c>
      <c r="AD200" s="17">
        <f t="shared" si="95"/>
        <v>22554.291012648668</v>
      </c>
    </row>
    <row r="201" spans="2:30" x14ac:dyDescent="0.15">
      <c r="B201" s="220"/>
      <c r="C201" s="276"/>
      <c r="D201" s="4" t="s">
        <v>205</v>
      </c>
      <c r="E201" s="106">
        <f>E183*G174*E195*365/1000</f>
        <v>642.15666666666664</v>
      </c>
      <c r="F201" s="106">
        <f>F183*G174*F195*365/1000</f>
        <v>641.8650813023803</v>
      </c>
      <c r="G201" s="106">
        <f>G183*G174*G195*365/1000</f>
        <v>641.50898738046851</v>
      </c>
      <c r="H201" s="106">
        <f>H183*G174*H195*365/1000</f>
        <v>641.08771394396081</v>
      </c>
      <c r="I201" s="106">
        <f>I183*G174*I195*365/1000</f>
        <v>640.61331156407937</v>
      </c>
      <c r="J201" s="106">
        <f>0.9*J183*G174*J195*365/1000</f>
        <v>391.20247485586742</v>
      </c>
      <c r="K201" s="106">
        <f>0.9*K183*G174*K195*365/1000</f>
        <v>390.83025176971847</v>
      </c>
      <c r="L201" s="106">
        <f>0.9*L183*G174*L195*365/1000</f>
        <v>390.42382913900377</v>
      </c>
      <c r="M201" s="106">
        <f>0.9*M183*G174*M195*365/1000</f>
        <v>389.97449576219191</v>
      </c>
      <c r="N201" s="106">
        <f>0.9*N183*G174*N195*365/1000</f>
        <v>389.48133497437942</v>
      </c>
      <c r="O201" s="106">
        <f>0.9*O183*G174*O195*365/1000</f>
        <v>388.95150735951864</v>
      </c>
      <c r="P201" s="106">
        <f>0.9*P183*G174*P195*365/1000</f>
        <v>388.37583633438999</v>
      </c>
      <c r="Q201" s="106">
        <f>0.9*Q183*G174*Q195*365/1000</f>
        <v>387.75307309581541</v>
      </c>
      <c r="R201" s="106">
        <f>0.9*R183*G174*R195*365/1000</f>
        <v>387.09026821267526</v>
      </c>
      <c r="S201" s="106">
        <f>0.9*S183*G174*S195*365/1000</f>
        <v>386.37764933035925</v>
      </c>
      <c r="T201" s="106">
        <f>0.9*T183*G174*T195*365/1000</f>
        <v>385.61354623160838</v>
      </c>
      <c r="U201" s="106">
        <f>0.9*U183*G174*U195*365/1000</f>
        <v>384.80486569274166</v>
      </c>
      <c r="V201" s="106">
        <f>0.9*V183*G174*V195*365/1000</f>
        <v>383.94106166278686</v>
      </c>
      <c r="W201" s="106">
        <f>0.9*W183*G174*W195*365/1000</f>
        <v>383.01990803115365</v>
      </c>
      <c r="X201" s="106">
        <f>0.9*X183*G174*X195*365/1000</f>
        <v>382.0480966658622</v>
      </c>
      <c r="Y201" s="106">
        <f>0.9*Y183*G174*Y195*365/1000</f>
        <v>381.014056642936</v>
      </c>
      <c r="Z201" s="106">
        <f>0.9*Z183*G174*Z195*365/1000</f>
        <v>379.9147994587392</v>
      </c>
      <c r="AA201" s="106">
        <f>0.9*AA183*G174*AA195*365/1000</f>
        <v>378.75666772591222</v>
      </c>
      <c r="AB201" s="106">
        <f>0.9*AB183*G174*AB195*365/1000</f>
        <v>377.52669650075899</v>
      </c>
      <c r="AC201" s="106">
        <f>0.9*AC183*G174*AC195*365/1000</f>
        <v>376.22080769877056</v>
      </c>
      <c r="AD201" s="17">
        <f t="shared" si="95"/>
        <v>10910.552988002742</v>
      </c>
    </row>
    <row r="202" spans="2:30" x14ac:dyDescent="0.15">
      <c r="B202" s="221" t="s">
        <v>210</v>
      </c>
      <c r="C202" s="277" t="s">
        <v>152</v>
      </c>
      <c r="D202" s="278"/>
      <c r="E202" s="39">
        <f>SUM(E196:E197)</f>
        <v>1728.8833333333332</v>
      </c>
      <c r="F202" s="39">
        <f>SUM(F196:F197)</f>
        <v>1727.985281157333</v>
      </c>
      <c r="G202" s="39">
        <f t="shared" ref="G202:AC202" si="96">SUM(G196:G197)</f>
        <v>1726.9043601180383</v>
      </c>
      <c r="H202" s="39">
        <f t="shared" si="96"/>
        <v>1725.6387084851829</v>
      </c>
      <c r="I202" s="39">
        <f t="shared" si="96"/>
        <v>1724.1859015495229</v>
      </c>
      <c r="J202" s="39">
        <f t="shared" si="96"/>
        <v>1517.1408978392419</v>
      </c>
      <c r="K202" s="39">
        <f t="shared" si="96"/>
        <v>1515.5016316281558</v>
      </c>
      <c r="L202" s="39">
        <f t="shared" si="96"/>
        <v>1513.6843745961903</v>
      </c>
      <c r="M202" s="39">
        <f t="shared" si="96"/>
        <v>1511.6901933286508</v>
      </c>
      <c r="N202" s="39">
        <f t="shared" si="96"/>
        <v>1509.5153999747004</v>
      </c>
      <c r="O202" s="39">
        <f t="shared" si="96"/>
        <v>1507.1513813366646</v>
      </c>
      <c r="P202" s="39">
        <f t="shared" si="96"/>
        <v>1143.1550391410465</v>
      </c>
      <c r="Q202" s="39">
        <f>SUM(Q196:Q197)</f>
        <v>1141.0997667520364</v>
      </c>
      <c r="R202" s="39">
        <f>SUM(R196:R197)</f>
        <v>1138.8938574378983</v>
      </c>
      <c r="S202" s="39">
        <f t="shared" si="96"/>
        <v>1136.5326098509618</v>
      </c>
      <c r="T202" s="39">
        <f t="shared" si="96"/>
        <v>1134.0109281840901</v>
      </c>
      <c r="U202" s="39">
        <f t="shared" si="96"/>
        <v>1131.3232989518544</v>
      </c>
      <c r="V202" s="39">
        <f t="shared" si="96"/>
        <v>1128.4634591340048</v>
      </c>
      <c r="W202" s="39">
        <f t="shared" si="96"/>
        <v>1125.4246048812072</v>
      </c>
      <c r="X202" s="39">
        <f t="shared" si="96"/>
        <v>1122.1993508005539</v>
      </c>
      <c r="Y202" s="39">
        <f t="shared" si="96"/>
        <v>1118.779315584138</v>
      </c>
      <c r="Z202" s="39">
        <f t="shared" si="96"/>
        <v>1115.1553474215102</v>
      </c>
      <c r="AA202" s="39">
        <f t="shared" si="96"/>
        <v>1111.3174516645795</v>
      </c>
      <c r="AB202" s="39">
        <f t="shared" si="96"/>
        <v>1107.2542573839701</v>
      </c>
      <c r="AC202" s="39">
        <f t="shared" si="96"/>
        <v>1102.9532501165463</v>
      </c>
      <c r="AD202" s="175">
        <f>SUM(E202:AC202)</f>
        <v>33464.844000651407</v>
      </c>
    </row>
    <row r="203" spans="2:30" x14ac:dyDescent="0.15">
      <c r="B203" s="222"/>
      <c r="C203" s="261" t="s">
        <v>211</v>
      </c>
      <c r="D203" s="262"/>
      <c r="E203" s="48">
        <f>SUM(E198:E199)</f>
        <v>1728.8833333333332</v>
      </c>
      <c r="F203" s="48">
        <f t="shared" ref="F203:AC203" si="97">SUM(F198:F199)</f>
        <v>1727.985281157333</v>
      </c>
      <c r="G203" s="48">
        <f t="shared" si="97"/>
        <v>1726.9043601180383</v>
      </c>
      <c r="H203" s="48">
        <f t="shared" si="97"/>
        <v>1725.6387084851829</v>
      </c>
      <c r="I203" s="48">
        <f t="shared" si="97"/>
        <v>1724.1859015495229</v>
      </c>
      <c r="J203" s="48">
        <f t="shared" si="97"/>
        <v>1157.842188102924</v>
      </c>
      <c r="K203" s="48">
        <f t="shared" si="97"/>
        <v>1156.5264803648004</v>
      </c>
      <c r="L203" s="48">
        <f t="shared" si="97"/>
        <v>1155.0704625252249</v>
      </c>
      <c r="M203" s="48">
        <f t="shared" si="97"/>
        <v>1153.4714912028485</v>
      </c>
      <c r="N203" s="48">
        <f t="shared" si="97"/>
        <v>1151.7266118503933</v>
      </c>
      <c r="O203" s="48">
        <f t="shared" si="97"/>
        <v>1149.8325374611368</v>
      </c>
      <c r="P203" s="48">
        <f t="shared" si="97"/>
        <v>1094.3542078772468</v>
      </c>
      <c r="Q203" s="48">
        <f t="shared" si="97"/>
        <v>1092.2530168959397</v>
      </c>
      <c r="R203" s="48">
        <f t="shared" si="97"/>
        <v>1089.9980224672665</v>
      </c>
      <c r="S203" s="48">
        <f t="shared" si="97"/>
        <v>1087.5845540853497</v>
      </c>
      <c r="T203" s="48">
        <f t="shared" si="97"/>
        <v>1085.0074692205353</v>
      </c>
      <c r="U203" s="48">
        <f t="shared" si="97"/>
        <v>1082.2611075451241</v>
      </c>
      <c r="V203" s="48">
        <f t="shared" si="97"/>
        <v>1079.3392383080663</v>
      </c>
      <c r="W203" s="48">
        <f t="shared" si="97"/>
        <v>1076.2349996794289</v>
      </c>
      <c r="X203" s="48">
        <f t="shared" si="97"/>
        <v>1072.9408286315697</v>
      </c>
      <c r="Y203" s="48">
        <f t="shared" si="97"/>
        <v>1069.4483796062486</v>
      </c>
      <c r="Z203" s="48">
        <f t="shared" si="97"/>
        <v>1065.7484298166703</v>
      </c>
      <c r="AA203" s="48">
        <f t="shared" si="97"/>
        <v>1061.8307685254856</v>
      </c>
      <c r="AB203" s="48">
        <f t="shared" si="97"/>
        <v>1057.6840669900491</v>
      </c>
      <c r="AC203" s="48">
        <f t="shared" si="97"/>
        <v>1053.2957249285587</v>
      </c>
      <c r="AD203" s="176">
        <f t="shared" ref="AD203:AD219" si="98">SUM(E203:AC203)</f>
        <v>30626.048170728271</v>
      </c>
    </row>
    <row r="204" spans="2:30" x14ac:dyDescent="0.15">
      <c r="B204" s="223"/>
      <c r="C204" s="259" t="s">
        <v>182</v>
      </c>
      <c r="D204" s="260"/>
      <c r="E204" s="41">
        <f>SUM(E200:E201)</f>
        <v>1728.8833333333332</v>
      </c>
      <c r="F204" s="41">
        <f t="shared" ref="F204:AC204" si="99">SUM(F200:F201)</f>
        <v>1727.985281157333</v>
      </c>
      <c r="G204" s="41">
        <f t="shared" si="99"/>
        <v>1726.9043601180383</v>
      </c>
      <c r="H204" s="41">
        <f t="shared" si="99"/>
        <v>1725.6387084851829</v>
      </c>
      <c r="I204" s="41">
        <f t="shared" si="99"/>
        <v>1724.1859015495229</v>
      </c>
      <c r="J204" s="41">
        <f t="shared" si="99"/>
        <v>1517.1408978392419</v>
      </c>
      <c r="K204" s="41">
        <f t="shared" si="99"/>
        <v>1515.5016316281556</v>
      </c>
      <c r="L204" s="41">
        <f t="shared" si="99"/>
        <v>1513.6843745961903</v>
      </c>
      <c r="M204" s="41">
        <f t="shared" si="99"/>
        <v>1511.6901933286508</v>
      </c>
      <c r="N204" s="41">
        <f t="shared" si="99"/>
        <v>1509.5153999747004</v>
      </c>
      <c r="O204" s="41">
        <f t="shared" si="99"/>
        <v>1507.1513813366644</v>
      </c>
      <c r="P204" s="41">
        <f t="shared" si="99"/>
        <v>1143.1550391410465</v>
      </c>
      <c r="Q204" s="41">
        <f t="shared" si="99"/>
        <v>1141.0997667520364</v>
      </c>
      <c r="R204" s="41">
        <f t="shared" si="99"/>
        <v>1138.8938574378983</v>
      </c>
      <c r="S204" s="41">
        <f t="shared" si="99"/>
        <v>1136.5326098509618</v>
      </c>
      <c r="T204" s="41">
        <f t="shared" si="99"/>
        <v>1134.0109281840903</v>
      </c>
      <c r="U204" s="41">
        <f t="shared" si="99"/>
        <v>1131.3232989518544</v>
      </c>
      <c r="V204" s="41">
        <f t="shared" si="99"/>
        <v>1128.463459134005</v>
      </c>
      <c r="W204" s="41">
        <f t="shared" si="99"/>
        <v>1125.4246048812072</v>
      </c>
      <c r="X204" s="41">
        <f t="shared" si="99"/>
        <v>1122.1993508005539</v>
      </c>
      <c r="Y204" s="41">
        <f t="shared" si="99"/>
        <v>1118.7793155841377</v>
      </c>
      <c r="Z204" s="41">
        <f t="shared" si="99"/>
        <v>1115.1553474215102</v>
      </c>
      <c r="AA204" s="41">
        <f t="shared" si="99"/>
        <v>1111.3174516645795</v>
      </c>
      <c r="AB204" s="41">
        <f t="shared" si="99"/>
        <v>1107.2542573839701</v>
      </c>
      <c r="AC204" s="41">
        <f t="shared" si="99"/>
        <v>1102.9532501165463</v>
      </c>
      <c r="AD204" s="177">
        <f>SUM(E204:AC204)</f>
        <v>33464.844000651407</v>
      </c>
    </row>
    <row r="205" spans="2:30" ht="13.5" customHeight="1" x14ac:dyDescent="0.15">
      <c r="B205" s="264" t="s">
        <v>212</v>
      </c>
      <c r="C205" s="277" t="s">
        <v>152</v>
      </c>
      <c r="D205" s="278"/>
      <c r="E205" s="39">
        <f>E202*3.6</f>
        <v>6223.98</v>
      </c>
      <c r="F205" s="39">
        <f t="shared" ref="F205:AC205" si="100">F202*3.6</f>
        <v>6220.7470121663991</v>
      </c>
      <c r="G205" s="39">
        <f t="shared" si="100"/>
        <v>6216.8556964249383</v>
      </c>
      <c r="H205" s="39">
        <f t="shared" si="100"/>
        <v>6212.2993505466584</v>
      </c>
      <c r="I205" s="39">
        <f t="shared" si="100"/>
        <v>6207.0692455782828</v>
      </c>
      <c r="J205" s="39">
        <f t="shared" si="100"/>
        <v>5461.7072322212707</v>
      </c>
      <c r="K205" s="39">
        <f t="shared" si="100"/>
        <v>5455.8058738613609</v>
      </c>
      <c r="L205" s="39">
        <f t="shared" si="100"/>
        <v>5449.2637485462856</v>
      </c>
      <c r="M205" s="39">
        <f t="shared" si="100"/>
        <v>5442.0846959831433</v>
      </c>
      <c r="N205" s="39">
        <f t="shared" si="100"/>
        <v>5434.2554399089213</v>
      </c>
      <c r="O205" s="39">
        <f t="shared" si="100"/>
        <v>5425.7449728119927</v>
      </c>
      <c r="P205" s="39">
        <f t="shared" si="100"/>
        <v>4115.3581409077678</v>
      </c>
      <c r="Q205" s="39">
        <f t="shared" si="100"/>
        <v>4107.9591603073313</v>
      </c>
      <c r="R205" s="39">
        <f t="shared" si="100"/>
        <v>4100.0178867764344</v>
      </c>
      <c r="S205" s="39">
        <f t="shared" si="100"/>
        <v>4091.5173954634624</v>
      </c>
      <c r="T205" s="39">
        <f t="shared" si="100"/>
        <v>4082.4393414627243</v>
      </c>
      <c r="U205" s="39">
        <f t="shared" si="100"/>
        <v>4072.7638762266761</v>
      </c>
      <c r="V205" s="39">
        <f t="shared" si="100"/>
        <v>4062.4684528824173</v>
      </c>
      <c r="W205" s="39">
        <f t="shared" si="100"/>
        <v>4051.528577572346</v>
      </c>
      <c r="X205" s="39">
        <f t="shared" si="100"/>
        <v>4039.9176628819941</v>
      </c>
      <c r="Y205" s="39">
        <f t="shared" si="100"/>
        <v>4027.6055361028966</v>
      </c>
      <c r="Z205" s="39">
        <f t="shared" si="100"/>
        <v>4014.559250717437</v>
      </c>
      <c r="AA205" s="39">
        <f t="shared" si="100"/>
        <v>4000.7428259924864</v>
      </c>
      <c r="AB205" s="39">
        <f t="shared" si="100"/>
        <v>3986.1153265822923</v>
      </c>
      <c r="AC205" s="39">
        <f t="shared" si="100"/>
        <v>3970.6317004195666</v>
      </c>
      <c r="AD205" s="175">
        <f t="shared" si="98"/>
        <v>120473.43840234511</v>
      </c>
    </row>
    <row r="206" spans="2:30" x14ac:dyDescent="0.15">
      <c r="B206" s="265"/>
      <c r="C206" s="261" t="s">
        <v>211</v>
      </c>
      <c r="D206" s="262"/>
      <c r="E206" s="48">
        <f t="shared" ref="E206:AC206" si="101">E203*3.6</f>
        <v>6223.98</v>
      </c>
      <c r="F206" s="48">
        <f t="shared" si="101"/>
        <v>6220.7470121663991</v>
      </c>
      <c r="G206" s="48">
        <f t="shared" si="101"/>
        <v>6216.8556964249383</v>
      </c>
      <c r="H206" s="48">
        <f t="shared" si="101"/>
        <v>6212.2993505466584</v>
      </c>
      <c r="I206" s="48">
        <f t="shared" si="101"/>
        <v>6207.0692455782828</v>
      </c>
      <c r="J206" s="48">
        <f t="shared" si="101"/>
        <v>4168.2318771705268</v>
      </c>
      <c r="K206" s="48">
        <f t="shared" si="101"/>
        <v>4163.4953293132812</v>
      </c>
      <c r="L206" s="48">
        <f t="shared" si="101"/>
        <v>4158.2536650908096</v>
      </c>
      <c r="M206" s="48">
        <f t="shared" si="101"/>
        <v>4152.4973683302551</v>
      </c>
      <c r="N206" s="48">
        <f t="shared" si="101"/>
        <v>4146.2158026614161</v>
      </c>
      <c r="O206" s="48">
        <f t="shared" si="101"/>
        <v>4139.3971348600926</v>
      </c>
      <c r="P206" s="48">
        <f t="shared" si="101"/>
        <v>3939.6751483580888</v>
      </c>
      <c r="Q206" s="48">
        <f t="shared" si="101"/>
        <v>3932.110860825383</v>
      </c>
      <c r="R206" s="48">
        <f t="shared" si="101"/>
        <v>3923.9928808821596</v>
      </c>
      <c r="S206" s="48">
        <f t="shared" si="101"/>
        <v>3915.3043947072592</v>
      </c>
      <c r="T206" s="48">
        <f t="shared" si="101"/>
        <v>3906.0268891939272</v>
      </c>
      <c r="U206" s="48">
        <f t="shared" si="101"/>
        <v>3896.1399871624467</v>
      </c>
      <c r="V206" s="48">
        <f t="shared" si="101"/>
        <v>3885.6212579090388</v>
      </c>
      <c r="W206" s="48">
        <f t="shared" si="101"/>
        <v>3874.4459988459444</v>
      </c>
      <c r="X206" s="48">
        <f t="shared" si="101"/>
        <v>3862.586983073651</v>
      </c>
      <c r="Y206" s="48">
        <f t="shared" si="101"/>
        <v>3850.0141665824954</v>
      </c>
      <c r="Z206" s="48">
        <f t="shared" si="101"/>
        <v>3836.6943473400133</v>
      </c>
      <c r="AA206" s="48">
        <f t="shared" si="101"/>
        <v>3822.5907666917483</v>
      </c>
      <c r="AB206" s="48">
        <f t="shared" si="101"/>
        <v>3807.6626411641769</v>
      </c>
      <c r="AC206" s="48">
        <f t="shared" si="101"/>
        <v>3791.8646097428114</v>
      </c>
      <c r="AD206" s="176">
        <f t="shared" si="98"/>
        <v>110253.77341462178</v>
      </c>
    </row>
    <row r="207" spans="2:30" ht="14.25" thickBot="1" x14ac:dyDescent="0.2">
      <c r="B207" s="266"/>
      <c r="C207" s="279" t="s">
        <v>182</v>
      </c>
      <c r="D207" s="280"/>
      <c r="E207" s="142">
        <f t="shared" ref="E207:AC207" si="102">E204*3.6</f>
        <v>6223.98</v>
      </c>
      <c r="F207" s="142">
        <f t="shared" si="102"/>
        <v>6220.7470121663991</v>
      </c>
      <c r="G207" s="142">
        <f t="shared" si="102"/>
        <v>6216.8556964249383</v>
      </c>
      <c r="H207" s="142">
        <f t="shared" si="102"/>
        <v>6212.2993505466584</v>
      </c>
      <c r="I207" s="142">
        <f t="shared" si="102"/>
        <v>6207.0692455782828</v>
      </c>
      <c r="J207" s="142">
        <f t="shared" si="102"/>
        <v>5461.7072322212707</v>
      </c>
      <c r="K207" s="142">
        <f t="shared" si="102"/>
        <v>5455.8058738613599</v>
      </c>
      <c r="L207" s="142">
        <f t="shared" si="102"/>
        <v>5449.2637485462856</v>
      </c>
      <c r="M207" s="142">
        <f t="shared" si="102"/>
        <v>5442.0846959831433</v>
      </c>
      <c r="N207" s="142">
        <f t="shared" si="102"/>
        <v>5434.2554399089213</v>
      </c>
      <c r="O207" s="142">
        <f t="shared" si="102"/>
        <v>5425.7449728119918</v>
      </c>
      <c r="P207" s="142">
        <f t="shared" si="102"/>
        <v>4115.3581409077678</v>
      </c>
      <c r="Q207" s="142">
        <f t="shared" si="102"/>
        <v>4107.9591603073313</v>
      </c>
      <c r="R207" s="142">
        <f t="shared" si="102"/>
        <v>4100.0178867764344</v>
      </c>
      <c r="S207" s="142">
        <f t="shared" si="102"/>
        <v>4091.5173954634624</v>
      </c>
      <c r="T207" s="142">
        <f t="shared" si="102"/>
        <v>4082.4393414627252</v>
      </c>
      <c r="U207" s="142">
        <f t="shared" si="102"/>
        <v>4072.7638762266761</v>
      </c>
      <c r="V207" s="142">
        <f t="shared" si="102"/>
        <v>4062.4684528824182</v>
      </c>
      <c r="W207" s="142">
        <f t="shared" si="102"/>
        <v>4051.528577572346</v>
      </c>
      <c r="X207" s="142">
        <f t="shared" si="102"/>
        <v>4039.9176628819941</v>
      </c>
      <c r="Y207" s="142">
        <f t="shared" si="102"/>
        <v>4027.6055361028962</v>
      </c>
      <c r="Z207" s="142">
        <f t="shared" si="102"/>
        <v>4014.559250717437</v>
      </c>
      <c r="AA207" s="142">
        <f t="shared" si="102"/>
        <v>4000.7428259924864</v>
      </c>
      <c r="AB207" s="142">
        <f t="shared" si="102"/>
        <v>3986.1153265822923</v>
      </c>
      <c r="AC207" s="142">
        <f t="shared" si="102"/>
        <v>3970.6317004195666</v>
      </c>
      <c r="AD207" s="178">
        <f t="shared" si="98"/>
        <v>120473.43840234511</v>
      </c>
    </row>
    <row r="208" spans="2:30" ht="13.5" customHeight="1" thickTop="1" x14ac:dyDescent="0.15">
      <c r="B208" s="288" t="s">
        <v>213</v>
      </c>
      <c r="C208" s="281" t="s">
        <v>152</v>
      </c>
      <c r="D208" s="282"/>
      <c r="E208" s="143">
        <f t="shared" ref="E208:E210" si="103">E202*0.000474*1000</f>
        <v>819.49069999999995</v>
      </c>
      <c r="F208" s="143">
        <f t="shared" ref="F208:AC208" si="104">F202*0.000474*1000</f>
        <v>819.06502326857583</v>
      </c>
      <c r="G208" s="143">
        <f t="shared" si="104"/>
        <v>818.55266669595017</v>
      </c>
      <c r="H208" s="143">
        <f t="shared" si="104"/>
        <v>817.95274782197657</v>
      </c>
      <c r="I208" s="143">
        <f t="shared" si="104"/>
        <v>817.26411733447378</v>
      </c>
      <c r="J208" s="143">
        <f t="shared" si="104"/>
        <v>719.12478557580062</v>
      </c>
      <c r="K208" s="143">
        <f t="shared" si="104"/>
        <v>718.34777339174582</v>
      </c>
      <c r="L208" s="143">
        <f t="shared" si="104"/>
        <v>717.48639355859416</v>
      </c>
      <c r="M208" s="143">
        <f t="shared" si="104"/>
        <v>716.54115163778044</v>
      </c>
      <c r="N208" s="143">
        <f t="shared" si="104"/>
        <v>715.51029958800791</v>
      </c>
      <c r="O208" s="143">
        <f t="shared" si="104"/>
        <v>714.38975475357904</v>
      </c>
      <c r="P208" s="143">
        <f t="shared" si="104"/>
        <v>541.85548855285606</v>
      </c>
      <c r="Q208" s="143">
        <f t="shared" si="104"/>
        <v>540.88128944046525</v>
      </c>
      <c r="R208" s="143">
        <f t="shared" si="104"/>
        <v>539.83568842556372</v>
      </c>
      <c r="S208" s="143">
        <f t="shared" si="104"/>
        <v>538.7164570693559</v>
      </c>
      <c r="T208" s="143">
        <f t="shared" si="104"/>
        <v>537.52117995925869</v>
      </c>
      <c r="U208" s="143">
        <f t="shared" si="104"/>
        <v>536.24724370317904</v>
      </c>
      <c r="V208" s="143">
        <f t="shared" si="104"/>
        <v>534.89167962951819</v>
      </c>
      <c r="W208" s="143">
        <f t="shared" si="104"/>
        <v>533.45126271369213</v>
      </c>
      <c r="X208" s="143">
        <f t="shared" si="104"/>
        <v>531.92249227946252</v>
      </c>
      <c r="Y208" s="143">
        <f t="shared" si="104"/>
        <v>530.30139558688143</v>
      </c>
      <c r="Z208" s="143">
        <f t="shared" si="104"/>
        <v>528.58363467779577</v>
      </c>
      <c r="AA208" s="143">
        <f t="shared" si="104"/>
        <v>526.76447208901072</v>
      </c>
      <c r="AB208" s="143">
        <f t="shared" si="104"/>
        <v>524.83851800000184</v>
      </c>
      <c r="AC208" s="143">
        <f t="shared" si="104"/>
        <v>522.79984055524301</v>
      </c>
      <c r="AD208" s="148">
        <f t="shared" ref="AD208:AD216" si="105">SUM(E208:AC208)</f>
        <v>15862.33605630877</v>
      </c>
    </row>
    <row r="209" spans="2:34" x14ac:dyDescent="0.15">
      <c r="B209" s="284"/>
      <c r="C209" s="261" t="s">
        <v>170</v>
      </c>
      <c r="D209" s="262"/>
      <c r="E209" s="48">
        <f t="shared" si="103"/>
        <v>819.49069999999995</v>
      </c>
      <c r="F209" s="48">
        <f t="shared" ref="F209:AC209" si="106">F203*0.000474*1000</f>
        <v>819.06502326857583</v>
      </c>
      <c r="G209" s="48">
        <f t="shared" si="106"/>
        <v>818.55266669595017</v>
      </c>
      <c r="H209" s="48">
        <f t="shared" si="106"/>
        <v>817.95274782197657</v>
      </c>
      <c r="I209" s="48">
        <f t="shared" si="106"/>
        <v>817.26411733447378</v>
      </c>
      <c r="J209" s="48">
        <f t="shared" si="106"/>
        <v>548.81719716078589</v>
      </c>
      <c r="K209" s="48">
        <f t="shared" si="106"/>
        <v>548.19355169291543</v>
      </c>
      <c r="L209" s="48">
        <f t="shared" si="106"/>
        <v>547.50339923695651</v>
      </c>
      <c r="M209" s="48">
        <f t="shared" si="106"/>
        <v>546.74548683015007</v>
      </c>
      <c r="N209" s="48">
        <f t="shared" si="106"/>
        <v>545.91841401708643</v>
      </c>
      <c r="O209" s="48">
        <f t="shared" si="106"/>
        <v>545.02062275657886</v>
      </c>
      <c r="P209" s="48">
        <f t="shared" si="106"/>
        <v>518.72389453381493</v>
      </c>
      <c r="Q209" s="48">
        <f t="shared" si="106"/>
        <v>517.72793000867534</v>
      </c>
      <c r="R209" s="48">
        <f t="shared" si="106"/>
        <v>516.65906264948433</v>
      </c>
      <c r="S209" s="48">
        <f t="shared" si="106"/>
        <v>515.51507863645577</v>
      </c>
      <c r="T209" s="48">
        <f t="shared" si="106"/>
        <v>514.29354041053364</v>
      </c>
      <c r="U209" s="48">
        <f t="shared" si="106"/>
        <v>512.99176497638871</v>
      </c>
      <c r="V209" s="48">
        <f t="shared" si="106"/>
        <v>511.60679895802343</v>
      </c>
      <c r="W209" s="48">
        <f t="shared" si="106"/>
        <v>510.13538984804927</v>
      </c>
      <c r="X209" s="48">
        <f t="shared" si="106"/>
        <v>508.57395277136408</v>
      </c>
      <c r="Y209" s="48">
        <f t="shared" si="106"/>
        <v>506.91853193336181</v>
      </c>
      <c r="Z209" s="48">
        <f t="shared" si="106"/>
        <v>505.16475573310169</v>
      </c>
      <c r="AA209" s="48">
        <f t="shared" si="106"/>
        <v>503.30778428108016</v>
      </c>
      <c r="AB209" s="48">
        <f t="shared" si="106"/>
        <v>501.34224775328329</v>
      </c>
      <c r="AC209" s="48">
        <f t="shared" si="106"/>
        <v>499.26217361613681</v>
      </c>
      <c r="AD209" s="50">
        <f t="shared" si="105"/>
        <v>14516.746832925201</v>
      </c>
    </row>
    <row r="210" spans="2:34" x14ac:dyDescent="0.15">
      <c r="B210" s="237"/>
      <c r="C210" s="259" t="s">
        <v>182</v>
      </c>
      <c r="D210" s="260"/>
      <c r="E210" s="41">
        <f t="shared" si="103"/>
        <v>819.49069999999995</v>
      </c>
      <c r="F210" s="41">
        <f t="shared" ref="F210:AC210" si="107">F204*0.000474*1000</f>
        <v>819.06502326857583</v>
      </c>
      <c r="G210" s="41">
        <f t="shared" si="107"/>
        <v>818.55266669595017</v>
      </c>
      <c r="H210" s="41">
        <f t="shared" si="107"/>
        <v>817.95274782197657</v>
      </c>
      <c r="I210" s="41">
        <f t="shared" si="107"/>
        <v>817.26411733447378</v>
      </c>
      <c r="J210" s="41">
        <f t="shared" si="107"/>
        <v>719.12478557580062</v>
      </c>
      <c r="K210" s="41">
        <f t="shared" si="107"/>
        <v>718.3477733917457</v>
      </c>
      <c r="L210" s="41">
        <f t="shared" si="107"/>
        <v>717.48639355859416</v>
      </c>
      <c r="M210" s="41">
        <f t="shared" si="107"/>
        <v>716.54115163778044</v>
      </c>
      <c r="N210" s="41">
        <f t="shared" si="107"/>
        <v>715.51029958800791</v>
      </c>
      <c r="O210" s="41">
        <f t="shared" si="107"/>
        <v>714.38975475357893</v>
      </c>
      <c r="P210" s="41">
        <f t="shared" si="107"/>
        <v>541.85548855285606</v>
      </c>
      <c r="Q210" s="41">
        <f t="shared" si="107"/>
        <v>540.88128944046525</v>
      </c>
      <c r="R210" s="41">
        <f t="shared" si="107"/>
        <v>539.83568842556372</v>
      </c>
      <c r="S210" s="41">
        <f t="shared" si="107"/>
        <v>538.7164570693559</v>
      </c>
      <c r="T210" s="41">
        <f t="shared" si="107"/>
        <v>537.52117995925869</v>
      </c>
      <c r="U210" s="41">
        <f t="shared" si="107"/>
        <v>536.24724370317904</v>
      </c>
      <c r="V210" s="41">
        <f t="shared" si="107"/>
        <v>534.89167962951831</v>
      </c>
      <c r="W210" s="41">
        <f t="shared" si="107"/>
        <v>533.45126271369213</v>
      </c>
      <c r="X210" s="41">
        <f t="shared" si="107"/>
        <v>531.92249227946252</v>
      </c>
      <c r="Y210" s="41">
        <f t="shared" si="107"/>
        <v>530.30139558688131</v>
      </c>
      <c r="Z210" s="41">
        <f t="shared" si="107"/>
        <v>528.58363467779577</v>
      </c>
      <c r="AA210" s="41">
        <f t="shared" si="107"/>
        <v>526.76447208901072</v>
      </c>
      <c r="AB210" s="41">
        <f t="shared" si="107"/>
        <v>524.83851800000184</v>
      </c>
      <c r="AC210" s="41">
        <f t="shared" si="107"/>
        <v>522.79984055524301</v>
      </c>
      <c r="AD210" s="147">
        <f t="shared" si="105"/>
        <v>15862.33605630877</v>
      </c>
    </row>
    <row r="211" spans="2:34" ht="13.5" customHeight="1" x14ac:dyDescent="0.15">
      <c r="B211" s="283" t="s">
        <v>214</v>
      </c>
      <c r="C211" s="277" t="s">
        <v>152</v>
      </c>
      <c r="D211" s="278"/>
      <c r="E211" s="144">
        <f>+E178*H173*365+E179*H174*365</f>
        <v>1.9561080000000002</v>
      </c>
      <c r="F211" s="144">
        <f>+F178*H173*365+F179*H174*365</f>
        <v>1.9495876399999998</v>
      </c>
      <c r="G211" s="144">
        <f>+G178*H173*365+G179*H174*365</f>
        <v>1.941763208</v>
      </c>
      <c r="H211" s="144">
        <f>+H178*H173*365+H179*H174*365</f>
        <v>1.932634704</v>
      </c>
      <c r="I211" s="144">
        <f>+I178*H173*365+I179*H174*365</f>
        <v>1.9222021280000001</v>
      </c>
      <c r="J211" s="144">
        <f>+J178*H173*365+J179*H174*365</f>
        <v>1.9104654800000003</v>
      </c>
      <c r="K211" s="144">
        <f>+K178*H173*365+K179*H174*365</f>
        <v>1.8974247599999998</v>
      </c>
      <c r="L211" s="144">
        <f>+L178*H173*365+L179*H174*365</f>
        <v>1.8830799680000001</v>
      </c>
      <c r="M211" s="144">
        <f>+M178*H173*365+M179*H174*365</f>
        <v>1.867431104</v>
      </c>
      <c r="N211" s="144">
        <f>+N178*H173*365+N179*H174*365</f>
        <v>1.8504781680000002</v>
      </c>
      <c r="O211" s="144">
        <f>+O178*H173*365+O179*H174*365</f>
        <v>1.83222116</v>
      </c>
      <c r="P211" s="144">
        <f>+P178*H173*365+P179*H174*365</f>
        <v>1.8126600800000001</v>
      </c>
      <c r="Q211" s="144">
        <f>+Q178*H173*365+Q179*H174*365</f>
        <v>1.7917949280000003</v>
      </c>
      <c r="R211" s="144">
        <f>+R178*H173*365+R179*H174*365</f>
        <v>1.7696257040000001</v>
      </c>
      <c r="S211" s="144">
        <f>+S178*H173*365+S179*H174*365</f>
        <v>1.7461524079999999</v>
      </c>
      <c r="T211" s="144">
        <f>+T178*H173*365+T179*H174*365</f>
        <v>1.7213750400000001</v>
      </c>
      <c r="U211" s="144">
        <f>+U178*H173*365+U179*H174*365</f>
        <v>1.6952936000000003</v>
      </c>
      <c r="V211" s="144">
        <f>+V178*H173*365+V179*H174*365</f>
        <v>1.6679080880000003</v>
      </c>
      <c r="W211" s="144">
        <f>+W178*H173*365+W179*H174*365</f>
        <v>1.6392185040000002</v>
      </c>
      <c r="X211" s="144">
        <f>+X178*H173*365+X179*H174*365</f>
        <v>1.609224848</v>
      </c>
      <c r="Y211" s="144">
        <f>+Y178*H173*365+Y179*H174*365</f>
        <v>1.57792712</v>
      </c>
      <c r="Z211" s="144">
        <f>+Z178*H173*365+Z179*H174*365</f>
        <v>1.5453253199999999</v>
      </c>
      <c r="AA211" s="144">
        <f>+AA178*H173*365+AA179*H174*365</f>
        <v>1.5114194479999998</v>
      </c>
      <c r="AB211" s="144">
        <f>+AB178*H173*365+AB179*H174*365</f>
        <v>1.4762095039999998</v>
      </c>
      <c r="AC211" s="144">
        <f>+AC178*H173*365+AC179*H174*365</f>
        <v>1.4396954879999999</v>
      </c>
      <c r="AD211" s="49">
        <f t="shared" si="105"/>
        <v>43.947226399999991</v>
      </c>
    </row>
    <row r="212" spans="2:34" x14ac:dyDescent="0.15">
      <c r="B212" s="284"/>
      <c r="C212" s="261" t="s">
        <v>170</v>
      </c>
      <c r="D212" s="262"/>
      <c r="E212" s="145">
        <f>+E180*H173*365+E181*H174*365</f>
        <v>1.9561080000000002</v>
      </c>
      <c r="F212" s="145">
        <f>+F180*H173*365+F181*H174*365</f>
        <v>1.9495876399999998</v>
      </c>
      <c r="G212" s="145">
        <f>+G180*H173*365+G181*H174*365</f>
        <v>1.941763208</v>
      </c>
      <c r="H212" s="145">
        <f>+H180*H173*365+H181*H174*365</f>
        <v>1.932634704</v>
      </c>
      <c r="I212" s="145">
        <f>+I180*H173*365+I181*H174*365</f>
        <v>1.9222021280000001</v>
      </c>
      <c r="J212" s="145">
        <f>+J180*H173*365</f>
        <v>1.9104654799999998</v>
      </c>
      <c r="K212" s="145">
        <f>+K180*H173*365</f>
        <v>1.8974247599999998</v>
      </c>
      <c r="L212" s="145">
        <f>+L180*H173*365</f>
        <v>1.8830799679999999</v>
      </c>
      <c r="M212" s="145">
        <f>+M180*H173*365</f>
        <v>1.867431104</v>
      </c>
      <c r="N212" s="145">
        <f>+N180*H173*365</f>
        <v>1.8504781680000002</v>
      </c>
      <c r="O212" s="145">
        <f>+O180*H173*365</f>
        <v>1.83222116</v>
      </c>
      <c r="P212" s="145">
        <f>+P180*H173*365</f>
        <v>1.8126600800000001</v>
      </c>
      <c r="Q212" s="145">
        <f>+Q180*H173*365</f>
        <v>1.7917949280000003</v>
      </c>
      <c r="R212" s="145">
        <f>+R180*H173*365</f>
        <v>1.7696257040000003</v>
      </c>
      <c r="S212" s="145">
        <f>+S180*H173*365</f>
        <v>1.7461524080000004</v>
      </c>
      <c r="T212" s="145">
        <f>+T180*H173*365</f>
        <v>1.7213750400000005</v>
      </c>
      <c r="U212" s="145">
        <f>+U180*H173*365</f>
        <v>1.6952936000000001</v>
      </c>
      <c r="V212" s="145">
        <f>+V180*H173*365</f>
        <v>1.6679080880000001</v>
      </c>
      <c r="W212" s="145">
        <f>+W180*H173*365</f>
        <v>1.639218504</v>
      </c>
      <c r="X212" s="145">
        <f>+X180*H173*365</f>
        <v>1.609224848</v>
      </c>
      <c r="Y212" s="145">
        <f>+Y180*H173*365</f>
        <v>1.5779271200000005</v>
      </c>
      <c r="Z212" s="145">
        <f>+Z180*H173*365</f>
        <v>1.5453253200000001</v>
      </c>
      <c r="AA212" s="145">
        <f>+AA180*H173*365</f>
        <v>1.5114194480000003</v>
      </c>
      <c r="AB212" s="145">
        <f>+AB180*H173*365</f>
        <v>1.4762095040000001</v>
      </c>
      <c r="AC212" s="145">
        <f>+AC180*H173*365</f>
        <v>1.4396954880000001</v>
      </c>
      <c r="AD212" s="50">
        <f t="shared" si="105"/>
        <v>43.947226399999998</v>
      </c>
    </row>
    <row r="213" spans="2:34" x14ac:dyDescent="0.15">
      <c r="B213" s="237"/>
      <c r="C213" s="259" t="s">
        <v>182</v>
      </c>
      <c r="D213" s="260"/>
      <c r="E213" s="146">
        <f>+E182*H173*365+E183*H174*365</f>
        <v>1.9561080000000002</v>
      </c>
      <c r="F213" s="146">
        <f>+F182*H173*365+F183*H174*365</f>
        <v>1.9495876399999998</v>
      </c>
      <c r="G213" s="146">
        <f>+G182*H173*365+G183*H174*365</f>
        <v>1.941763208</v>
      </c>
      <c r="H213" s="146">
        <f>+H182*H173*365+H183*H174*365</f>
        <v>1.932634704</v>
      </c>
      <c r="I213" s="146">
        <f>+I182*H173*365+I183*H174*365</f>
        <v>1.9222021280000001</v>
      </c>
      <c r="J213" s="146">
        <f>+J182*H173*365+J183*H174*365</f>
        <v>1.9104654800000003</v>
      </c>
      <c r="K213" s="146">
        <f>+K182*H173*365+K183*H174*365</f>
        <v>1.8974247599999998</v>
      </c>
      <c r="L213" s="146">
        <f>+L182*H173*365+L183*H174*365</f>
        <v>1.8830799680000001</v>
      </c>
      <c r="M213" s="146">
        <f>+M182*H173*365+M183*H174*365</f>
        <v>1.867431104</v>
      </c>
      <c r="N213" s="146">
        <f>+N182*H173*365+N183*H174*365</f>
        <v>1.8504781680000002</v>
      </c>
      <c r="O213" s="146">
        <f>+O182*H173*365+O183*H174*365</f>
        <v>1.83222116</v>
      </c>
      <c r="P213" s="146">
        <f>+P182*H173*365+P183*H174*365</f>
        <v>1.8126600800000001</v>
      </c>
      <c r="Q213" s="146">
        <f>+Q182*H173*365+Q183*H174*365</f>
        <v>1.7917949280000003</v>
      </c>
      <c r="R213" s="146">
        <f>+R182*H173*365+R183*H174*365</f>
        <v>1.7696257040000001</v>
      </c>
      <c r="S213" s="146">
        <f>+S182*H173*365+S183*H174*365</f>
        <v>1.7461524079999999</v>
      </c>
      <c r="T213" s="146">
        <f>+T182*H173*365+T183*H174*365</f>
        <v>1.7213750400000001</v>
      </c>
      <c r="U213" s="146">
        <f>+U182*H173*365+U183*H174*365</f>
        <v>1.6952936000000003</v>
      </c>
      <c r="V213" s="146">
        <f>+V182*H173*365+V183*H174*365</f>
        <v>1.6679080880000003</v>
      </c>
      <c r="W213" s="146">
        <f>+W182*H173*365+W183*H174*365</f>
        <v>1.6392185040000002</v>
      </c>
      <c r="X213" s="146">
        <f>+X182*H173*365+X183*H174*365</f>
        <v>1.609224848</v>
      </c>
      <c r="Y213" s="146">
        <f>+Y182*H173*365+Y183*H174*365</f>
        <v>1.57792712</v>
      </c>
      <c r="Z213" s="146">
        <f>+Z182*H173*365+Z183*H174*365</f>
        <v>1.5453253199999999</v>
      </c>
      <c r="AA213" s="146">
        <f>+AA182*H173*365+AA183*H174*365</f>
        <v>1.5114194479999998</v>
      </c>
      <c r="AB213" s="146">
        <f>+AB182*H173*365+AB183*H174*365</f>
        <v>1.4762095039999998</v>
      </c>
      <c r="AC213" s="146">
        <f>+AC182*H173*365+AC183*H174*365</f>
        <v>1.4396954879999999</v>
      </c>
      <c r="AD213" s="147">
        <f t="shared" ref="AD213" si="108">SUM(E213:AC213)</f>
        <v>43.947226399999991</v>
      </c>
    </row>
    <row r="214" spans="2:34" ht="13.5" customHeight="1" x14ac:dyDescent="0.15">
      <c r="B214" s="283" t="s">
        <v>215</v>
      </c>
      <c r="C214" s="277" t="s">
        <v>152</v>
      </c>
      <c r="D214" s="278"/>
      <c r="E214" s="144">
        <f>+E178*I173*365+E179*I174*365</f>
        <v>0.35565599999999997</v>
      </c>
      <c r="F214" s="144">
        <f>+F178*I173*365+F179*I174*365</f>
        <v>0.35447047999999998</v>
      </c>
      <c r="G214" s="144">
        <f>+G178*I173*365+G179*I174*365</f>
        <v>0.35304785599999999</v>
      </c>
      <c r="H214" s="144">
        <f>+H178*I173*365+H179*I174*365</f>
        <v>0.35138812799999997</v>
      </c>
      <c r="I214" s="144">
        <f>+I178*I173*365+I179*I174*365</f>
        <v>0.34949129600000001</v>
      </c>
      <c r="J214" s="144">
        <f>+J178*I173*365+J179*I174*365</f>
        <v>0.34735736</v>
      </c>
      <c r="K214" s="144">
        <f>+K178*I173*365+K179*I174*365</f>
        <v>0.34498631999999996</v>
      </c>
      <c r="L214" s="144">
        <f>+L178*I173*365+L179*I174*365</f>
        <v>0.34237817599999998</v>
      </c>
      <c r="M214" s="144">
        <f>+M178*I173*365+M179*I174*365</f>
        <v>0.33953292800000001</v>
      </c>
      <c r="N214" s="144">
        <f>+N178*I173*365+N179*I174*365</f>
        <v>0.33645057600000006</v>
      </c>
      <c r="O214" s="144">
        <f>+O178*I173*365+O179*I174*365</f>
        <v>0.33313112</v>
      </c>
      <c r="P214" s="144">
        <f>+P178*I173*365+P179*I174*365</f>
        <v>0.32957455999999996</v>
      </c>
      <c r="Q214" s="144">
        <f>+Q178*I173*365+Q179*I174*365</f>
        <v>0.32578089599999999</v>
      </c>
      <c r="R214" s="144">
        <f>+R178*I173*365+R179*I174*365</f>
        <v>0.32175012800000002</v>
      </c>
      <c r="S214" s="144">
        <f>+S178*I173*365+S179*I174*365</f>
        <v>0.31748225600000002</v>
      </c>
      <c r="T214" s="144">
        <f>+T178*I173*365+T179*I174*365</f>
        <v>0.31297728000000002</v>
      </c>
      <c r="U214" s="144">
        <f>+U178*I173*365+U179*I174*365</f>
        <v>0.30823520000000004</v>
      </c>
      <c r="V214" s="144">
        <f>+V178*I173*365+V179*I174*365</f>
        <v>0.30325601599999996</v>
      </c>
      <c r="W214" s="144">
        <f>+W178*I173*365+W179*I174*365</f>
        <v>0.298039728</v>
      </c>
      <c r="X214" s="144">
        <f>+X178*I173*365+X179*I174*365</f>
        <v>0.292586336</v>
      </c>
      <c r="Y214" s="144">
        <f>+Y178*I173*365+Y179*I174*365</f>
        <v>0.28689583999999996</v>
      </c>
      <c r="Z214" s="144">
        <f>+Z178*I173*365+Z179*I174*365</f>
        <v>0.28096824000000004</v>
      </c>
      <c r="AA214" s="144">
        <f>+AA178*I173*365+AA179*I174*365</f>
        <v>0.27480353599999996</v>
      </c>
      <c r="AB214" s="144">
        <f>+AB178*I173*365+AB179*I174*365</f>
        <v>0.26840172800000001</v>
      </c>
      <c r="AC214" s="144">
        <f>+AC178*I173*365+AC179*I174*365</f>
        <v>0.26176281599999995</v>
      </c>
      <c r="AD214" s="49">
        <f t="shared" si="105"/>
        <v>7.9904048000000003</v>
      </c>
    </row>
    <row r="215" spans="2:34" x14ac:dyDescent="0.15">
      <c r="B215" s="284"/>
      <c r="C215" s="261" t="s">
        <v>170</v>
      </c>
      <c r="D215" s="262"/>
      <c r="E215" s="145">
        <f>+E180*I173*365+E181*I174*365</f>
        <v>0.35565599999999997</v>
      </c>
      <c r="F215" s="145">
        <f>+F180*I173*365+F181*I174*365</f>
        <v>0.35447047999999998</v>
      </c>
      <c r="G215" s="145">
        <f>+G180*I173*365+G181*I174*365</f>
        <v>0.35304785599999999</v>
      </c>
      <c r="H215" s="145">
        <f>+H180*I173*365+H181*I174*365</f>
        <v>0.35138812799999997</v>
      </c>
      <c r="I215" s="145">
        <f>+I180*I173*365+I181*I174*365</f>
        <v>0.34949129600000001</v>
      </c>
      <c r="J215" s="145">
        <f>+J180*I173*365</f>
        <v>0.34735736</v>
      </c>
      <c r="K215" s="145">
        <f>+K180*I173*365</f>
        <v>0.34498631999999996</v>
      </c>
      <c r="L215" s="145">
        <f>+L180*I173*365</f>
        <v>0.34237817599999998</v>
      </c>
      <c r="M215" s="145">
        <f>+M180*I173*365</f>
        <v>0.33953292800000001</v>
      </c>
      <c r="N215" s="145">
        <f>+N180*I173*365</f>
        <v>0.336450576</v>
      </c>
      <c r="O215" s="145">
        <f>+O180*I173*365</f>
        <v>0.33313112</v>
      </c>
      <c r="P215" s="145">
        <f>+P180*I173*365</f>
        <v>0.32957455999999996</v>
      </c>
      <c r="Q215" s="145">
        <f>+Q180*I173*365</f>
        <v>0.32578089600000004</v>
      </c>
      <c r="R215" s="145">
        <f>+R180*I173*365</f>
        <v>0.32175012800000002</v>
      </c>
      <c r="S215" s="145">
        <f>+S180*I173*365</f>
        <v>0.31748225600000002</v>
      </c>
      <c r="T215" s="145">
        <f>+T180*I173*365</f>
        <v>0.31297728000000008</v>
      </c>
      <c r="U215" s="145">
        <f>+U180*I173*365</f>
        <v>0.30823519999999999</v>
      </c>
      <c r="V215" s="145">
        <f>+V180*I173*365</f>
        <v>0.30325601600000002</v>
      </c>
      <c r="W215" s="145">
        <f>+W180*I173*365</f>
        <v>0.298039728</v>
      </c>
      <c r="X215" s="145">
        <f>+X180*I173*365</f>
        <v>0.292586336</v>
      </c>
      <c r="Y215" s="145">
        <f>+Y180*I173*365</f>
        <v>0.28689584000000001</v>
      </c>
      <c r="Z215" s="145">
        <f>+Z180*I173*365</f>
        <v>0.28096824000000004</v>
      </c>
      <c r="AA215" s="145">
        <f>+AA180*I173*365</f>
        <v>0.27480353600000001</v>
      </c>
      <c r="AB215" s="145">
        <f>+AB180*I173*365</f>
        <v>0.26840172800000001</v>
      </c>
      <c r="AC215" s="145">
        <f>+AC180*I173*365</f>
        <v>0.26176281600000001</v>
      </c>
      <c r="AD215" s="50">
        <f t="shared" si="105"/>
        <v>7.9904048000000003</v>
      </c>
    </row>
    <row r="216" spans="2:34" x14ac:dyDescent="0.15">
      <c r="B216" s="237"/>
      <c r="C216" s="259" t="s">
        <v>182</v>
      </c>
      <c r="D216" s="260"/>
      <c r="E216" s="146">
        <f>+E182*I173*365+E183*I174*365</f>
        <v>0.35565599999999997</v>
      </c>
      <c r="F216" s="146">
        <f>+F182*I173*365+F183*I174*365</f>
        <v>0.35447047999999998</v>
      </c>
      <c r="G216" s="146">
        <f>+G182*I173*365+G183*I174*365</f>
        <v>0.35304785599999999</v>
      </c>
      <c r="H216" s="146">
        <f>+H182*I173*365+H183*I174*365</f>
        <v>0.35138812799999997</v>
      </c>
      <c r="I216" s="146">
        <f>+I182*I173*365+I183*I174*365</f>
        <v>0.34949129600000001</v>
      </c>
      <c r="J216" s="146">
        <f>+J182*I173*365+J183*I174*365</f>
        <v>0.34735736</v>
      </c>
      <c r="K216" s="146">
        <f>+K182*I173*365+K183*I174*365</f>
        <v>0.34498631999999996</v>
      </c>
      <c r="L216" s="146">
        <f>+L182*I173*365+L183*I174*365</f>
        <v>0.34237817599999998</v>
      </c>
      <c r="M216" s="146">
        <f>+M182*I173*365+M183*I174*365</f>
        <v>0.33953292800000001</v>
      </c>
      <c r="N216" s="146">
        <f>+N182*I173*365+N183*I174*365</f>
        <v>0.33645057600000006</v>
      </c>
      <c r="O216" s="146">
        <f>+O182*I173*365+O183*I174*365</f>
        <v>0.33313112</v>
      </c>
      <c r="P216" s="146">
        <f>+P182*I173*365+P183*I174*365</f>
        <v>0.32957455999999996</v>
      </c>
      <c r="Q216" s="146">
        <f>+Q182*I173*365+Q183*I174*365</f>
        <v>0.32578089599999999</v>
      </c>
      <c r="R216" s="146">
        <f>+R182*I173*365+R183*I174*365</f>
        <v>0.32175012800000002</v>
      </c>
      <c r="S216" s="146">
        <f>+S182*I173*365+S183*I174*365</f>
        <v>0.31748225600000002</v>
      </c>
      <c r="T216" s="146">
        <f>+T182*I173*365+T183*I174*365</f>
        <v>0.31297728000000002</v>
      </c>
      <c r="U216" s="146">
        <f>+U182*I173*365+U183*I174*365</f>
        <v>0.30823520000000004</v>
      </c>
      <c r="V216" s="146">
        <f>+V182*I173*365+V183*I174*365</f>
        <v>0.30325601599999996</v>
      </c>
      <c r="W216" s="146">
        <f>+W182*I173*365+W183*I174*365</f>
        <v>0.298039728</v>
      </c>
      <c r="X216" s="146">
        <f>+X182*I173*365+X183*I174*365</f>
        <v>0.292586336</v>
      </c>
      <c r="Y216" s="146">
        <f>+Y182*I173*365+Y183*I174*365</f>
        <v>0.28689583999999996</v>
      </c>
      <c r="Z216" s="146">
        <f>+Z182*I173*365+Z183*I174*365</f>
        <v>0.28096824000000004</v>
      </c>
      <c r="AA216" s="146">
        <f>+AA182*I173*365+AA183*I174*365</f>
        <v>0.27480353599999996</v>
      </c>
      <c r="AB216" s="146">
        <f>+AB182*I173*365+AB183*I174*365</f>
        <v>0.26840172800000001</v>
      </c>
      <c r="AC216" s="146">
        <f>+AC182*I173*365+AC183*I174*365</f>
        <v>0.26176281599999995</v>
      </c>
      <c r="AD216" s="147">
        <f t="shared" si="105"/>
        <v>7.9904048000000003</v>
      </c>
    </row>
    <row r="217" spans="2:34" ht="13.5" customHeight="1" x14ac:dyDescent="0.15">
      <c r="B217" s="264" t="s">
        <v>216</v>
      </c>
      <c r="C217" s="277" t="s">
        <v>152</v>
      </c>
      <c r="D217" s="278"/>
      <c r="E217" s="39">
        <f>+E208+E211*25+E214*298</f>
        <v>974.37888799999996</v>
      </c>
      <c r="F217" s="39">
        <f t="shared" ref="F217:AC217" si="109">+F208+F211*25+F214*298</f>
        <v>973.43691730857586</v>
      </c>
      <c r="G217" s="39">
        <f t="shared" si="109"/>
        <v>972.30500798395019</v>
      </c>
      <c r="H217" s="39">
        <f t="shared" si="109"/>
        <v>970.98227756597657</v>
      </c>
      <c r="I217" s="39">
        <f t="shared" si="109"/>
        <v>969.46757674247374</v>
      </c>
      <c r="J217" s="39">
        <f t="shared" si="109"/>
        <v>870.39891585580062</v>
      </c>
      <c r="K217" s="39">
        <f t="shared" si="109"/>
        <v>868.58931575174574</v>
      </c>
      <c r="L217" s="39">
        <f t="shared" si="109"/>
        <v>866.59208920659421</v>
      </c>
      <c r="M217" s="39">
        <f t="shared" si="109"/>
        <v>864.40774178178049</v>
      </c>
      <c r="N217" s="39">
        <f t="shared" si="109"/>
        <v>862.03452543600793</v>
      </c>
      <c r="O217" s="39">
        <f t="shared" si="109"/>
        <v>859.46835751357901</v>
      </c>
      <c r="P217" s="39">
        <f t="shared" si="109"/>
        <v>685.38520943285607</v>
      </c>
      <c r="Q217" s="39">
        <f t="shared" si="109"/>
        <v>682.75886964846518</v>
      </c>
      <c r="R217" s="39">
        <f t="shared" si="109"/>
        <v>679.95786916956376</v>
      </c>
      <c r="S217" s="39">
        <f t="shared" si="109"/>
        <v>676.97997955735582</v>
      </c>
      <c r="T217" s="39">
        <f t="shared" si="109"/>
        <v>673.82278539925869</v>
      </c>
      <c r="U217" s="39">
        <f t="shared" si="109"/>
        <v>670.4836733031791</v>
      </c>
      <c r="V217" s="39">
        <f t="shared" si="109"/>
        <v>666.95967459751819</v>
      </c>
      <c r="W217" s="39">
        <f t="shared" si="109"/>
        <v>663.24756425769215</v>
      </c>
      <c r="X217" s="39">
        <f t="shared" si="109"/>
        <v>659.34384160746254</v>
      </c>
      <c r="Y217" s="39">
        <f t="shared" si="109"/>
        <v>655.24453390688143</v>
      </c>
      <c r="Z217" s="39">
        <f t="shared" si="109"/>
        <v>650.94530319779585</v>
      </c>
      <c r="AA217" s="39">
        <f t="shared" si="109"/>
        <v>646.44141201701075</v>
      </c>
      <c r="AB217" s="39">
        <f t="shared" si="109"/>
        <v>641.72747054400179</v>
      </c>
      <c r="AC217" s="39">
        <f t="shared" si="109"/>
        <v>636.79754692324298</v>
      </c>
      <c r="AD217" s="175">
        <f t="shared" si="98"/>
        <v>19342.157346708773</v>
      </c>
    </row>
    <row r="218" spans="2:34" x14ac:dyDescent="0.15">
      <c r="B218" s="265"/>
      <c r="C218" s="261" t="s">
        <v>170</v>
      </c>
      <c r="D218" s="262"/>
      <c r="E218" s="48">
        <f>+E209+E212*25+E215*298</f>
        <v>974.37888799999996</v>
      </c>
      <c r="F218" s="48">
        <f t="shared" ref="F218:AC218" si="110">+F209+F212*25+F215*298</f>
        <v>973.43691730857586</v>
      </c>
      <c r="G218" s="48">
        <f t="shared" si="110"/>
        <v>972.30500798395019</v>
      </c>
      <c r="H218" s="48">
        <f t="shared" si="110"/>
        <v>970.98227756597657</v>
      </c>
      <c r="I218" s="48">
        <f t="shared" si="110"/>
        <v>969.46757674247374</v>
      </c>
      <c r="J218" s="48">
        <f t="shared" si="110"/>
        <v>700.09132744078579</v>
      </c>
      <c r="K218" s="48">
        <f t="shared" si="110"/>
        <v>698.43509405291536</v>
      </c>
      <c r="L218" s="48">
        <f t="shared" si="110"/>
        <v>696.60909488495656</v>
      </c>
      <c r="M218" s="48">
        <f t="shared" si="110"/>
        <v>694.61207697415011</v>
      </c>
      <c r="N218" s="48">
        <f t="shared" si="110"/>
        <v>692.44263986508645</v>
      </c>
      <c r="O218" s="48">
        <f t="shared" si="110"/>
        <v>690.09922551657883</v>
      </c>
      <c r="P218" s="48">
        <f t="shared" si="110"/>
        <v>662.25361541381494</v>
      </c>
      <c r="Q218" s="48">
        <f t="shared" si="110"/>
        <v>659.60551021667538</v>
      </c>
      <c r="R218" s="48">
        <f t="shared" si="110"/>
        <v>656.78124339348437</v>
      </c>
      <c r="S218" s="48">
        <f t="shared" si="110"/>
        <v>653.7786011244558</v>
      </c>
      <c r="T218" s="48">
        <f t="shared" si="110"/>
        <v>650.59514585053375</v>
      </c>
      <c r="U218" s="48">
        <f t="shared" si="110"/>
        <v>647.22819457638866</v>
      </c>
      <c r="V218" s="48">
        <f t="shared" si="110"/>
        <v>643.67479392602343</v>
      </c>
      <c r="W218" s="48">
        <f t="shared" si="110"/>
        <v>639.93169139204929</v>
      </c>
      <c r="X218" s="48">
        <f t="shared" si="110"/>
        <v>635.99530209936415</v>
      </c>
      <c r="Y218" s="48">
        <f t="shared" si="110"/>
        <v>631.86167025336181</v>
      </c>
      <c r="Z218" s="48">
        <f t="shared" si="110"/>
        <v>627.52642425310171</v>
      </c>
      <c r="AA218" s="48">
        <f t="shared" si="110"/>
        <v>622.98472420908013</v>
      </c>
      <c r="AB218" s="48">
        <f t="shared" si="110"/>
        <v>618.23120029728329</v>
      </c>
      <c r="AC218" s="48">
        <f t="shared" si="110"/>
        <v>613.25987998413689</v>
      </c>
      <c r="AD218" s="176">
        <f t="shared" si="98"/>
        <v>17996.5681233252</v>
      </c>
    </row>
    <row r="219" spans="2:34" x14ac:dyDescent="0.15">
      <c r="B219" s="285"/>
      <c r="C219" s="259" t="s">
        <v>182</v>
      </c>
      <c r="D219" s="260"/>
      <c r="E219" s="41">
        <f>E210+E213*25+E216*298</f>
        <v>974.37888799999996</v>
      </c>
      <c r="F219" s="41">
        <f t="shared" ref="F219:AC219" si="111">F210+F213*25+F216*298</f>
        <v>973.43691730857586</v>
      </c>
      <c r="G219" s="41">
        <f t="shared" si="111"/>
        <v>972.30500798395019</v>
      </c>
      <c r="H219" s="41">
        <f t="shared" si="111"/>
        <v>970.98227756597657</v>
      </c>
      <c r="I219" s="41">
        <f t="shared" si="111"/>
        <v>969.46757674247374</v>
      </c>
      <c r="J219" s="41">
        <f t="shared" si="111"/>
        <v>870.39891585580062</v>
      </c>
      <c r="K219" s="41">
        <f t="shared" si="111"/>
        <v>868.58931575174563</v>
      </c>
      <c r="L219" s="41">
        <f t="shared" si="111"/>
        <v>866.59208920659421</v>
      </c>
      <c r="M219" s="41">
        <f t="shared" si="111"/>
        <v>864.40774178178049</v>
      </c>
      <c r="N219" s="41">
        <f t="shared" si="111"/>
        <v>862.03452543600793</v>
      </c>
      <c r="O219" s="41">
        <f t="shared" si="111"/>
        <v>859.46835751357889</v>
      </c>
      <c r="P219" s="41">
        <f t="shared" si="111"/>
        <v>685.38520943285607</v>
      </c>
      <c r="Q219" s="41">
        <f t="shared" si="111"/>
        <v>682.75886964846518</v>
      </c>
      <c r="R219" s="41">
        <f t="shared" si="111"/>
        <v>679.95786916956376</v>
      </c>
      <c r="S219" s="41">
        <f t="shared" si="111"/>
        <v>676.97997955735582</v>
      </c>
      <c r="T219" s="41">
        <f t="shared" si="111"/>
        <v>673.82278539925869</v>
      </c>
      <c r="U219" s="41">
        <f t="shared" si="111"/>
        <v>670.4836733031791</v>
      </c>
      <c r="V219" s="41">
        <f t="shared" si="111"/>
        <v>666.9596745975183</v>
      </c>
      <c r="W219" s="41">
        <f t="shared" si="111"/>
        <v>663.24756425769215</v>
      </c>
      <c r="X219" s="41">
        <f t="shared" si="111"/>
        <v>659.34384160746254</v>
      </c>
      <c r="Y219" s="41">
        <f t="shared" si="111"/>
        <v>655.24453390688132</v>
      </c>
      <c r="Z219" s="41">
        <f t="shared" si="111"/>
        <v>650.94530319779585</v>
      </c>
      <c r="AA219" s="41">
        <f t="shared" si="111"/>
        <v>646.44141201701075</v>
      </c>
      <c r="AB219" s="41">
        <f t="shared" si="111"/>
        <v>641.72747054400179</v>
      </c>
      <c r="AC219" s="41">
        <f t="shared" si="111"/>
        <v>636.79754692324298</v>
      </c>
      <c r="AD219" s="177">
        <f t="shared" si="98"/>
        <v>19342.157346708773</v>
      </c>
    </row>
    <row r="220" spans="2:34" x14ac:dyDescent="0.15">
      <c r="F220" s="174"/>
      <c r="G220" s="112"/>
      <c r="H220" s="112"/>
      <c r="I220" s="113"/>
      <c r="J220" s="113"/>
      <c r="K220" s="113"/>
      <c r="L220" s="113"/>
      <c r="M220" s="113"/>
      <c r="N220" s="113"/>
      <c r="O220" s="113"/>
      <c r="P220" s="113"/>
      <c r="Q220" s="113"/>
      <c r="R220" s="113"/>
      <c r="S220" s="113"/>
      <c r="T220" s="113"/>
      <c r="U220" s="113"/>
      <c r="V220" s="113"/>
      <c r="W220" s="113"/>
      <c r="X220" s="113"/>
      <c r="Y220" s="113"/>
      <c r="Z220" s="113"/>
      <c r="AA220" s="113"/>
      <c r="AB220" s="113"/>
      <c r="AC220" s="113"/>
      <c r="AD220" s="113"/>
      <c r="AE220" s="113"/>
      <c r="AF220" s="113"/>
      <c r="AG220" s="113"/>
      <c r="AH220" s="187"/>
    </row>
  </sheetData>
  <mergeCells count="111">
    <mergeCell ref="B70:B71"/>
    <mergeCell ref="B72:B73"/>
    <mergeCell ref="J73:AC73"/>
    <mergeCell ref="J64:AC64"/>
    <mergeCell ref="O3:O4"/>
    <mergeCell ref="T3:T4"/>
    <mergeCell ref="U3:U4"/>
    <mergeCell ref="P3:Q3"/>
    <mergeCell ref="H171:H172"/>
    <mergeCell ref="I171:I172"/>
    <mergeCell ref="V3:W3"/>
    <mergeCell ref="X3:Y3"/>
    <mergeCell ref="Z3:AA3"/>
    <mergeCell ref="J181:AC181"/>
    <mergeCell ref="C202:D202"/>
    <mergeCell ref="E3:E4"/>
    <mergeCell ref="E171:E172"/>
    <mergeCell ref="F3:F4"/>
    <mergeCell ref="C196:C197"/>
    <mergeCell ref="C198:C199"/>
    <mergeCell ref="D3:D4"/>
    <mergeCell ref="D55:D56"/>
    <mergeCell ref="G3:I3"/>
    <mergeCell ref="J3:K3"/>
    <mergeCell ref="G171:G172"/>
    <mergeCell ref="J69:AC69"/>
    <mergeCell ref="J71:AC71"/>
    <mergeCell ref="L3:L4"/>
    <mergeCell ref="M3:M4"/>
    <mergeCell ref="N3:N4"/>
    <mergeCell ref="F171:F172"/>
    <mergeCell ref="C182:C183"/>
    <mergeCell ref="B131:B132"/>
    <mergeCell ref="B133:B134"/>
    <mergeCell ref="B214:B216"/>
    <mergeCell ref="B217:B219"/>
    <mergeCell ref="C128:C136"/>
    <mergeCell ref="C178:C179"/>
    <mergeCell ref="C180:C181"/>
    <mergeCell ref="C194:C195"/>
    <mergeCell ref="B208:B210"/>
    <mergeCell ref="B211:B213"/>
    <mergeCell ref="C218:D218"/>
    <mergeCell ref="C219:D219"/>
    <mergeCell ref="C211:D211"/>
    <mergeCell ref="C212:D212"/>
    <mergeCell ref="C213:D213"/>
    <mergeCell ref="C214:D214"/>
    <mergeCell ref="B177:C177"/>
    <mergeCell ref="B178:B183"/>
    <mergeCell ref="C188:C189"/>
    <mergeCell ref="C190:C191"/>
    <mergeCell ref="C192:C193"/>
    <mergeCell ref="C204:D204"/>
    <mergeCell ref="C200:C201"/>
    <mergeCell ref="C215:D215"/>
    <mergeCell ref="C216:D216"/>
    <mergeCell ref="C217:D217"/>
    <mergeCell ref="C206:D206"/>
    <mergeCell ref="C207:D207"/>
    <mergeCell ref="C208:D208"/>
    <mergeCell ref="C209:D209"/>
    <mergeCell ref="C205:D205"/>
    <mergeCell ref="B65:B67"/>
    <mergeCell ref="B68:B69"/>
    <mergeCell ref="C11:C12"/>
    <mergeCell ref="C13:C14"/>
    <mergeCell ref="C15:C16"/>
    <mergeCell ref="C210:D210"/>
    <mergeCell ref="C203:D203"/>
    <mergeCell ref="B116:B118"/>
    <mergeCell ref="B119:B120"/>
    <mergeCell ref="B121:B123"/>
    <mergeCell ref="B124:B125"/>
    <mergeCell ref="B126:B127"/>
    <mergeCell ref="B128:B130"/>
    <mergeCell ref="B205:B207"/>
    <mergeCell ref="C116:C118"/>
    <mergeCell ref="C119:C123"/>
    <mergeCell ref="C124:C125"/>
    <mergeCell ref="C126:C127"/>
    <mergeCell ref="B184:B189"/>
    <mergeCell ref="B190:B195"/>
    <mergeCell ref="B196:B201"/>
    <mergeCell ref="B202:B204"/>
    <mergeCell ref="C184:C185"/>
    <mergeCell ref="C186:C187"/>
    <mergeCell ref="C17:C18"/>
    <mergeCell ref="C19:C24"/>
    <mergeCell ref="C63:C64"/>
    <mergeCell ref="C65:C67"/>
    <mergeCell ref="C68:C69"/>
    <mergeCell ref="C70:C71"/>
    <mergeCell ref="A3:A4"/>
    <mergeCell ref="A55:A56"/>
    <mergeCell ref="A171:A172"/>
    <mergeCell ref="B3:B4"/>
    <mergeCell ref="B55:B56"/>
    <mergeCell ref="B171:B172"/>
    <mergeCell ref="C3:C4"/>
    <mergeCell ref="C55:C56"/>
    <mergeCell ref="B11:B12"/>
    <mergeCell ref="B13:B14"/>
    <mergeCell ref="B15:B16"/>
    <mergeCell ref="B17:B18"/>
    <mergeCell ref="B19:B20"/>
    <mergeCell ref="B21:B22"/>
    <mergeCell ref="B63:B64"/>
    <mergeCell ref="B75:B76"/>
    <mergeCell ref="C72:C78"/>
    <mergeCell ref="C171:D171"/>
  </mergeCells>
  <phoneticPr fontId="30"/>
  <pageMargins left="0.69930555555555596" right="0.69930555555555596" top="0.75" bottom="0.75" header="0.3" footer="0.3"/>
  <pageSetup paperSize="8" scale="65" orientation="landscape" r:id="rId1"/>
  <rowBreaks count="3" manualBreakCount="3">
    <brk id="53" max="16383" man="1"/>
    <brk id="112" max="16383" man="1"/>
    <brk id="169" max="16383" man="1"/>
  </rowBreaks>
  <ignoredErrors>
    <ignoredError sqref="AD213"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9"/>
  <sheetViews>
    <sheetView showGridLines="0" workbookViewId="0">
      <selection activeCell="N10" sqref="N10"/>
    </sheetView>
  </sheetViews>
  <sheetFormatPr defaultColWidth="9" defaultRowHeight="13.5" x14ac:dyDescent="0.15"/>
  <cols>
    <col min="2" max="2" width="5.25" customWidth="1"/>
    <col min="3" max="3" width="8.25" customWidth="1"/>
    <col min="4" max="4" width="4.625" customWidth="1"/>
    <col min="5" max="5" width="10.375" customWidth="1"/>
    <col min="6" max="7" width="11.125" customWidth="1"/>
    <col min="8" max="8" width="9" customWidth="1"/>
    <col min="9" max="9" width="14.375" customWidth="1"/>
    <col min="10" max="10" width="10.25" customWidth="1"/>
  </cols>
  <sheetData>
    <row r="1" spans="2:10" ht="14.25" thickBot="1" x14ac:dyDescent="0.2">
      <c r="B1" t="s">
        <v>238</v>
      </c>
    </row>
    <row r="2" spans="2:10" ht="24.75" customHeight="1" x14ac:dyDescent="0.15">
      <c r="B2" s="313" t="s">
        <v>0</v>
      </c>
      <c r="C2" s="314"/>
      <c r="D2" s="319" t="s">
        <v>239</v>
      </c>
      <c r="E2" s="319"/>
      <c r="F2" s="319"/>
      <c r="G2" s="319"/>
      <c r="H2" s="320"/>
      <c r="I2" s="191" t="s">
        <v>257</v>
      </c>
      <c r="J2" s="311" t="s">
        <v>240</v>
      </c>
    </row>
    <row r="3" spans="2:10" x14ac:dyDescent="0.15">
      <c r="B3" s="315"/>
      <c r="C3" s="316"/>
      <c r="D3" s="320" t="s">
        <v>241</v>
      </c>
      <c r="E3" s="321"/>
      <c r="F3" s="321"/>
      <c r="G3" s="321"/>
      <c r="H3" s="321"/>
      <c r="I3" s="65" t="s">
        <v>242</v>
      </c>
      <c r="J3" s="312"/>
    </row>
    <row r="4" spans="2:10" ht="47.25" x14ac:dyDescent="0.15">
      <c r="B4" s="317"/>
      <c r="C4" s="318"/>
      <c r="D4" s="322" t="s">
        <v>243</v>
      </c>
      <c r="E4" s="323"/>
      <c r="F4" s="51" t="s">
        <v>244</v>
      </c>
      <c r="G4" s="51" t="s">
        <v>245</v>
      </c>
      <c r="H4" s="66" t="s">
        <v>246</v>
      </c>
      <c r="I4" s="67" t="s">
        <v>247</v>
      </c>
      <c r="J4" s="180" t="s">
        <v>258</v>
      </c>
    </row>
    <row r="5" spans="2:10" ht="27.75" customHeight="1" x14ac:dyDescent="0.15">
      <c r="B5" s="304" t="s">
        <v>248</v>
      </c>
      <c r="C5" s="52" t="s">
        <v>249</v>
      </c>
      <c r="D5" s="309" t="s">
        <v>53</v>
      </c>
      <c r="E5" s="310"/>
      <c r="F5" s="53">
        <v>0.01</v>
      </c>
      <c r="G5" s="53">
        <v>1.4999999999999999E-2</v>
      </c>
      <c r="H5" s="68">
        <v>200</v>
      </c>
      <c r="I5" s="69">
        <f>+'経済性比較、エネルギー、GHG'!J121/0.7+'経済性比較、エネルギー、GHG'!J122/0.7</f>
        <v>132.85714285714286</v>
      </c>
      <c r="J5" s="70" t="s">
        <v>250</v>
      </c>
    </row>
    <row r="6" spans="2:10" ht="27.75" customHeight="1" thickBot="1" x14ac:dyDescent="0.2">
      <c r="B6" s="305"/>
      <c r="C6" s="54" t="s">
        <v>252</v>
      </c>
      <c r="D6" s="55">
        <v>10</v>
      </c>
      <c r="E6" s="56" t="s">
        <v>251</v>
      </c>
      <c r="F6" s="57">
        <v>0.01</v>
      </c>
      <c r="G6" s="71">
        <v>1.0999999999999999E-2</v>
      </c>
      <c r="H6" s="72">
        <v>150</v>
      </c>
      <c r="I6" s="73">
        <f>I5*G6/G5</f>
        <v>97.428571428571431</v>
      </c>
      <c r="J6" s="74" t="s">
        <v>250</v>
      </c>
    </row>
    <row r="7" spans="2:10" ht="15" thickTop="1" thickBot="1" x14ac:dyDescent="0.2">
      <c r="B7" s="306" t="s">
        <v>253</v>
      </c>
      <c r="C7" s="307"/>
      <c r="D7" s="307"/>
      <c r="E7" s="307"/>
      <c r="F7" s="307"/>
      <c r="G7" s="308"/>
      <c r="H7" s="75">
        <v>9000</v>
      </c>
      <c r="I7" s="76">
        <f>ROUND(5948/0.7,-2)</f>
        <v>8500</v>
      </c>
      <c r="J7" s="77" t="s">
        <v>53</v>
      </c>
    </row>
    <row r="8" spans="2:10" x14ac:dyDescent="0.15">
      <c r="B8" s="58" t="s">
        <v>254</v>
      </c>
      <c r="C8" s="59"/>
    </row>
    <row r="9" spans="2:10" x14ac:dyDescent="0.15">
      <c r="B9" s="60" t="s">
        <v>255</v>
      </c>
      <c r="C9" s="59"/>
      <c r="D9" s="61"/>
      <c r="E9" s="62"/>
      <c r="F9" s="63"/>
      <c r="G9" s="64"/>
      <c r="H9" s="64"/>
      <c r="I9" s="78"/>
      <c r="J9" s="79"/>
    </row>
  </sheetData>
  <mergeCells count="8">
    <mergeCell ref="B5:B6"/>
    <mergeCell ref="B7:G7"/>
    <mergeCell ref="D5:E5"/>
    <mergeCell ref="J2:J3"/>
    <mergeCell ref="B2:C4"/>
    <mergeCell ref="D2:H2"/>
    <mergeCell ref="D3:H3"/>
    <mergeCell ref="D4:E4"/>
  </mergeCells>
  <phoneticPr fontId="30"/>
  <pageMargins left="0.69930555555555596" right="0.69930555555555596"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election activeCell="B25" sqref="B25"/>
    </sheetView>
  </sheetViews>
  <sheetFormatPr defaultColWidth="9" defaultRowHeight="13.5" x14ac:dyDescent="0.15"/>
  <cols>
    <col min="2" max="2" width="27.25" customWidth="1"/>
    <col min="9" max="9" width="16.25" customWidth="1"/>
  </cols>
  <sheetData>
    <row r="1" spans="1:11" x14ac:dyDescent="0.15">
      <c r="B1" t="s">
        <v>217</v>
      </c>
    </row>
    <row r="2" spans="1:11" x14ac:dyDescent="0.15">
      <c r="B2" s="220" t="s">
        <v>0</v>
      </c>
      <c r="C2" s="220" t="s">
        <v>125</v>
      </c>
      <c r="D2" s="220"/>
      <c r="E2" s="220"/>
      <c r="F2" s="292" t="s">
        <v>218</v>
      </c>
      <c r="G2" s="292"/>
      <c r="H2" s="292"/>
      <c r="I2" s="294" t="s">
        <v>45</v>
      </c>
    </row>
    <row r="3" spans="1:11" ht="29.25" x14ac:dyDescent="0.15">
      <c r="B3" s="220"/>
      <c r="C3" s="30" t="s">
        <v>219</v>
      </c>
      <c r="D3" s="30" t="s">
        <v>220</v>
      </c>
      <c r="E3" s="30" t="s">
        <v>221</v>
      </c>
      <c r="F3" s="80" t="s">
        <v>219</v>
      </c>
      <c r="G3" s="80" t="s">
        <v>220</v>
      </c>
      <c r="H3" s="80" t="s">
        <v>221</v>
      </c>
      <c r="I3" s="294"/>
    </row>
    <row r="4" spans="1:11" x14ac:dyDescent="0.15">
      <c r="B4" s="81" t="s">
        <v>222</v>
      </c>
      <c r="C4" s="17">
        <v>210</v>
      </c>
      <c r="D4" s="17">
        <f>+ROUND('経済性比較、エネルギー、GHG'!J119/0.7,-2)</f>
        <v>5700</v>
      </c>
      <c r="E4" s="17">
        <f t="shared" ref="E4:E9" si="0">+ROUND(C4*D4/1000,0)</f>
        <v>1197</v>
      </c>
      <c r="F4" s="46">
        <v>40</v>
      </c>
      <c r="G4" s="46">
        <f>+ROUND('経済性比較、エネルギー、GHG'!J119/0.7,-2)</f>
        <v>5700</v>
      </c>
      <c r="H4" s="46">
        <f t="shared" ref="H4:H8" si="1">+ROUND(F4*G4/1000,0)</f>
        <v>228</v>
      </c>
      <c r="I4" s="88" t="s">
        <v>223</v>
      </c>
    </row>
    <row r="5" spans="1:11" x14ac:dyDescent="0.15">
      <c r="B5" s="81" t="s">
        <v>224</v>
      </c>
      <c r="C5" s="17">
        <f>+E5/D5*1000</f>
        <v>219.97230875735548</v>
      </c>
      <c r="D5" s="17">
        <f>+D4+D7</f>
        <v>5778</v>
      </c>
      <c r="E5" s="17">
        <f t="shared" ref="E5:H5" si="2">+E4+E7</f>
        <v>1271</v>
      </c>
      <c r="F5" s="46">
        <f>+H5/G5*1000</f>
        <v>41.883004499826932</v>
      </c>
      <c r="G5" s="46">
        <f t="shared" si="2"/>
        <v>5778</v>
      </c>
      <c r="H5" s="46">
        <f t="shared" si="2"/>
        <v>242</v>
      </c>
      <c r="I5" s="88" t="s">
        <v>52</v>
      </c>
    </row>
    <row r="6" spans="1:11" x14ac:dyDescent="0.15">
      <c r="B6" s="81"/>
      <c r="C6" s="17"/>
      <c r="D6" s="17"/>
      <c r="E6" s="17"/>
      <c r="F6" s="46"/>
      <c r="G6" s="46"/>
      <c r="H6" s="46"/>
      <c r="I6" s="89"/>
    </row>
    <row r="7" spans="1:11" x14ac:dyDescent="0.15">
      <c r="A7" s="20"/>
      <c r="B7" s="82" t="s">
        <v>225</v>
      </c>
      <c r="C7" s="17">
        <v>950</v>
      </c>
      <c r="D7" s="17">
        <f>+ROUND('経済性比較、エネルギー、GHG'!J121/0.7*0.8,0)</f>
        <v>78</v>
      </c>
      <c r="E7" s="17">
        <f t="shared" si="0"/>
        <v>74</v>
      </c>
      <c r="F7" s="46">
        <f>+ROUND(F4*C7/C4,-1)</f>
        <v>180</v>
      </c>
      <c r="G7" s="46">
        <f>+ROUND('経済性比較、エネルギー、GHG'!J121/0.7*0.8,0)</f>
        <v>78</v>
      </c>
      <c r="H7" s="46">
        <f t="shared" si="1"/>
        <v>14</v>
      </c>
      <c r="I7" s="88" t="s">
        <v>223</v>
      </c>
    </row>
    <row r="8" spans="1:11" x14ac:dyDescent="0.15">
      <c r="B8" s="81" t="s">
        <v>226</v>
      </c>
      <c r="C8" s="17">
        <v>950</v>
      </c>
      <c r="D8" s="17">
        <f>+ROUND('経済性比較、エネルギー、GHG'!J122/0.7*0.8,0)</f>
        <v>29</v>
      </c>
      <c r="E8" s="17">
        <f t="shared" si="0"/>
        <v>28</v>
      </c>
      <c r="F8" s="46">
        <f>+F7</f>
        <v>180</v>
      </c>
      <c r="G8" s="46">
        <f>+ROUND('経済性比較、エネルギー、GHG'!M122/0.7*0.8,0)</f>
        <v>29</v>
      </c>
      <c r="H8" s="46">
        <f t="shared" si="1"/>
        <v>5</v>
      </c>
      <c r="I8" s="89"/>
    </row>
    <row r="9" spans="1:11" x14ac:dyDescent="0.15">
      <c r="B9" s="81" t="s">
        <v>227</v>
      </c>
      <c r="C9" s="17">
        <v>950</v>
      </c>
      <c r="D9" s="17">
        <f>++D8+D7</f>
        <v>107</v>
      </c>
      <c r="E9" s="17">
        <f t="shared" si="0"/>
        <v>102</v>
      </c>
      <c r="F9" s="46">
        <f>+F7</f>
        <v>180</v>
      </c>
      <c r="G9" s="46">
        <f>++G8+G7</f>
        <v>107</v>
      </c>
      <c r="H9" s="46">
        <f>+ROUND(F9*G9/1000,0)</f>
        <v>19</v>
      </c>
      <c r="I9" s="89"/>
    </row>
    <row r="10" spans="1:11" x14ac:dyDescent="0.15">
      <c r="B10" s="81"/>
      <c r="C10" s="17"/>
      <c r="D10" s="17"/>
      <c r="E10" s="17"/>
      <c r="F10" s="46"/>
      <c r="G10" s="46"/>
      <c r="I10" s="46"/>
    </row>
    <row r="11" spans="1:11" x14ac:dyDescent="0.15">
      <c r="B11" s="81" t="s">
        <v>228</v>
      </c>
      <c r="C11" s="17">
        <f>+E11/D11*1000</f>
        <v>223.69553986567936</v>
      </c>
      <c r="D11" s="17">
        <f>+D4+D9</f>
        <v>5807</v>
      </c>
      <c r="E11" s="17">
        <f>+E9+E4</f>
        <v>1299</v>
      </c>
      <c r="F11" s="46">
        <f>+H11/G11*1000</f>
        <v>42.534871706561049</v>
      </c>
      <c r="G11" s="46">
        <f>+G4+G9</f>
        <v>5807</v>
      </c>
      <c r="H11" s="46">
        <f>+H9+H4</f>
        <v>247</v>
      </c>
      <c r="I11" s="89"/>
    </row>
    <row r="12" spans="1:11" x14ac:dyDescent="0.15">
      <c r="B12" s="83" t="s">
        <v>229</v>
      </c>
      <c r="C12" s="84"/>
      <c r="D12" s="84">
        <f t="shared" ref="D12:H12" si="3">+D11-D5</f>
        <v>29</v>
      </c>
      <c r="E12" s="84">
        <f t="shared" si="3"/>
        <v>28</v>
      </c>
      <c r="F12" s="85"/>
      <c r="G12" s="85">
        <f t="shared" si="3"/>
        <v>29</v>
      </c>
      <c r="H12" s="85">
        <f t="shared" si="3"/>
        <v>5</v>
      </c>
      <c r="I12" s="90"/>
    </row>
    <row r="14" spans="1:11" x14ac:dyDescent="0.15">
      <c r="B14" s="86" t="s">
        <v>230</v>
      </c>
      <c r="C14" s="324" t="s">
        <v>231</v>
      </c>
      <c r="D14" s="325"/>
      <c r="E14" s="87">
        <f>+E12</f>
        <v>28</v>
      </c>
      <c r="F14" s="326" t="s">
        <v>232</v>
      </c>
      <c r="G14" s="327"/>
      <c r="H14" s="87">
        <f>+H12</f>
        <v>5</v>
      </c>
      <c r="I14" s="173" t="s">
        <v>233</v>
      </c>
      <c r="J14" s="91">
        <f>2.46*(0.6*E12+4.57*H12)*0.01</f>
        <v>0.9753900000000002</v>
      </c>
      <c r="K14" t="s">
        <v>234</v>
      </c>
    </row>
    <row r="15" spans="1:11" x14ac:dyDescent="0.15">
      <c r="B15" s="86" t="s">
        <v>235</v>
      </c>
      <c r="C15" s="324" t="s">
        <v>236</v>
      </c>
      <c r="D15" s="325"/>
      <c r="E15" s="87">
        <f>+E12</f>
        <v>28</v>
      </c>
      <c r="F15" s="326" t="s">
        <v>232</v>
      </c>
      <c r="G15" s="327"/>
      <c r="H15" s="87">
        <f>+H12</f>
        <v>5</v>
      </c>
      <c r="I15" s="173" t="s">
        <v>233</v>
      </c>
      <c r="J15" s="91">
        <f>2.83*(0.6*E12+4.57*H12)*0.01</f>
        <v>1.1220950000000003</v>
      </c>
      <c r="K15" t="s">
        <v>237</v>
      </c>
    </row>
  </sheetData>
  <mergeCells count="8">
    <mergeCell ref="C15:D15"/>
    <mergeCell ref="F15:G15"/>
    <mergeCell ref="B2:B3"/>
    <mergeCell ref="I2:I3"/>
    <mergeCell ref="C2:E2"/>
    <mergeCell ref="F2:H2"/>
    <mergeCell ref="C14:D14"/>
    <mergeCell ref="F14:G14"/>
  </mergeCells>
  <phoneticPr fontId="30"/>
  <pageMargins left="0.69930555555555596" right="0.69930555555555596" top="0.75" bottom="0.75" header="0.3" footer="0.3"/>
  <pageSetup paperSize="9" orientation="portrait" r:id="rId1"/>
  <ignoredErrors>
    <ignoredError sqref="F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C3"/>
  <sheetViews>
    <sheetView showGridLines="0" zoomScale="70" zoomScaleNormal="70" workbookViewId="0">
      <selection activeCell="AD36" sqref="AD36"/>
    </sheetView>
  </sheetViews>
  <sheetFormatPr defaultColWidth="9" defaultRowHeight="13.5" outlineLevelCol="1" x14ac:dyDescent="0.15"/>
  <cols>
    <col min="2" max="2" width="4" customWidth="1"/>
    <col min="3" max="3" width="4.5" customWidth="1"/>
    <col min="4" max="4" width="20.75" customWidth="1"/>
    <col min="5" max="16" width="7.125" customWidth="1" outlineLevel="1"/>
    <col min="17" max="29" width="7.125" customWidth="1"/>
  </cols>
  <sheetData>
    <row r="2" spans="3:29" ht="20.100000000000001" customHeight="1" x14ac:dyDescent="0.15">
      <c r="C2" s="171"/>
      <c r="D2" s="1" t="s">
        <v>11</v>
      </c>
      <c r="E2" s="172" t="s">
        <v>12</v>
      </c>
      <c r="F2" s="172" t="s">
        <v>13</v>
      </c>
      <c r="G2" s="172" t="s">
        <v>14</v>
      </c>
      <c r="H2" s="172" t="s">
        <v>15</v>
      </c>
      <c r="I2" s="172" t="s">
        <v>16</v>
      </c>
      <c r="J2" s="172" t="s">
        <v>17</v>
      </c>
      <c r="K2" s="172" t="s">
        <v>18</v>
      </c>
      <c r="L2" s="172" t="s">
        <v>19</v>
      </c>
      <c r="M2" s="172" t="s">
        <v>20</v>
      </c>
      <c r="N2" s="172" t="s">
        <v>21</v>
      </c>
      <c r="O2" s="172" t="s">
        <v>22</v>
      </c>
      <c r="P2" s="172" t="s">
        <v>23</v>
      </c>
      <c r="Q2" s="172" t="s">
        <v>24</v>
      </c>
      <c r="R2" s="172" t="s">
        <v>25</v>
      </c>
      <c r="S2" s="172" t="s">
        <v>26</v>
      </c>
      <c r="T2" s="172" t="s">
        <v>27</v>
      </c>
      <c r="U2" s="172" t="s">
        <v>28</v>
      </c>
      <c r="V2" s="172" t="s">
        <v>29</v>
      </c>
      <c r="W2" s="172" t="s">
        <v>30</v>
      </c>
      <c r="X2" s="172" t="s">
        <v>31</v>
      </c>
      <c r="Y2" s="172" t="s">
        <v>32</v>
      </c>
      <c r="Z2" s="172" t="s">
        <v>33</v>
      </c>
      <c r="AA2" s="172" t="s">
        <v>34</v>
      </c>
      <c r="AB2" s="172" t="s">
        <v>35</v>
      </c>
      <c r="AC2" s="172" t="s">
        <v>36</v>
      </c>
    </row>
    <row r="3" spans="3:29" ht="20.100000000000001" customHeight="1" x14ac:dyDescent="0.15">
      <c r="C3" s="171"/>
      <c r="D3" s="12" t="s">
        <v>5</v>
      </c>
      <c r="E3" s="16">
        <v>21000</v>
      </c>
      <c r="F3" s="36">
        <v>20930</v>
      </c>
      <c r="G3" s="36">
        <v>20846</v>
      </c>
      <c r="H3" s="36">
        <v>20748</v>
      </c>
      <c r="I3" s="36">
        <v>20636</v>
      </c>
      <c r="J3" s="36">
        <v>20510</v>
      </c>
      <c r="K3" s="36">
        <v>20370</v>
      </c>
      <c r="L3" s="36">
        <v>20216</v>
      </c>
      <c r="M3" s="36">
        <v>20048</v>
      </c>
      <c r="N3" s="36">
        <v>19866</v>
      </c>
      <c r="O3" s="36">
        <v>19670</v>
      </c>
      <c r="P3" s="36">
        <v>19460</v>
      </c>
      <c r="Q3" s="36">
        <v>19236</v>
      </c>
      <c r="R3" s="36">
        <v>18998</v>
      </c>
      <c r="S3" s="36">
        <v>18746</v>
      </c>
      <c r="T3" s="36">
        <v>18480</v>
      </c>
      <c r="U3" s="36">
        <v>18200</v>
      </c>
      <c r="V3" s="36">
        <v>17906</v>
      </c>
      <c r="W3" s="36">
        <v>17598</v>
      </c>
      <c r="X3" s="36">
        <v>17276</v>
      </c>
      <c r="Y3" s="36">
        <v>16940</v>
      </c>
      <c r="Z3" s="36">
        <v>16590</v>
      </c>
      <c r="AA3" s="36">
        <v>16226</v>
      </c>
      <c r="AB3" s="36">
        <v>15848</v>
      </c>
      <c r="AC3" s="36">
        <v>15456</v>
      </c>
    </row>
  </sheetData>
  <phoneticPr fontId="30"/>
  <pageMargins left="0.69930555555555596" right="0.69930555555555596" top="0.75" bottom="0.75" header="0.3" footer="0.3"/>
  <ignoredErrors>
    <ignoredError sqref="E2:AC2"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24"/>
  <sheetViews>
    <sheetView showGridLines="0" zoomScale="85" zoomScaleNormal="85" workbookViewId="0">
      <selection activeCell="M44" sqref="M44"/>
    </sheetView>
  </sheetViews>
  <sheetFormatPr defaultColWidth="9" defaultRowHeight="13.5" outlineLevelCol="1" x14ac:dyDescent="0.15"/>
  <cols>
    <col min="2" max="2" width="3.375" customWidth="1"/>
    <col min="3" max="3" width="4.125" customWidth="1"/>
    <col min="4" max="4" width="19.5" customWidth="1"/>
    <col min="5" max="16" width="9" customWidth="1" outlineLevel="1"/>
  </cols>
  <sheetData>
    <row r="2" spans="2:29" ht="15" customHeight="1" thickBot="1" x14ac:dyDescent="0.2">
      <c r="B2" s="216" t="s">
        <v>0</v>
      </c>
      <c r="C2" s="216"/>
      <c r="D2" s="216"/>
      <c r="E2" s="2" t="s">
        <v>37</v>
      </c>
      <c r="F2" s="1" t="s">
        <v>38</v>
      </c>
    </row>
    <row r="3" spans="2:29" ht="15" customHeight="1" x14ac:dyDescent="0.15">
      <c r="B3" s="217" t="s">
        <v>5</v>
      </c>
      <c r="C3" s="218"/>
      <c r="D3" s="219"/>
      <c r="E3" s="16">
        <f>行政人口の見通し!E3</f>
        <v>21000</v>
      </c>
      <c r="F3" s="135">
        <f>E3/$E$3</f>
        <v>1</v>
      </c>
    </row>
    <row r="4" spans="2:29" ht="15" customHeight="1" x14ac:dyDescent="0.15">
      <c r="B4" s="151"/>
      <c r="C4" s="137" t="s">
        <v>39</v>
      </c>
      <c r="D4" s="4"/>
      <c r="E4" s="17">
        <f>SUM(E5:E6)</f>
        <v>21000</v>
      </c>
      <c r="F4" s="135">
        <f t="shared" ref="F4:F6" si="0">E4/$E$3</f>
        <v>1</v>
      </c>
    </row>
    <row r="5" spans="2:29" ht="15" customHeight="1" x14ac:dyDescent="0.15">
      <c r="B5" s="151"/>
      <c r="C5" s="151"/>
      <c r="D5" s="4" t="s">
        <v>40</v>
      </c>
      <c r="E5" s="17">
        <v>14000</v>
      </c>
      <c r="F5" s="135">
        <f t="shared" si="0"/>
        <v>0.66666666666666663</v>
      </c>
    </row>
    <row r="6" spans="2:29" ht="15" customHeight="1" x14ac:dyDescent="0.15">
      <c r="B6" s="3"/>
      <c r="C6" s="3"/>
      <c r="D6" s="4" t="s">
        <v>41</v>
      </c>
      <c r="E6" s="17">
        <v>7000</v>
      </c>
      <c r="F6" s="135">
        <f t="shared" si="0"/>
        <v>0.33333333333333331</v>
      </c>
    </row>
    <row r="7" spans="2:29" ht="15" customHeight="1" x14ac:dyDescent="0.15"/>
    <row r="8" spans="2:29" ht="15" customHeight="1" x14ac:dyDescent="0.15">
      <c r="B8" s="216" t="s">
        <v>0</v>
      </c>
      <c r="C8" s="216"/>
      <c r="D8" s="216"/>
      <c r="E8" s="2" t="s">
        <v>12</v>
      </c>
      <c r="F8" s="2">
        <v>2</v>
      </c>
      <c r="G8" s="2">
        <v>3</v>
      </c>
      <c r="H8" s="2">
        <v>4</v>
      </c>
      <c r="I8" s="2">
        <v>5</v>
      </c>
      <c r="J8" s="2">
        <v>6</v>
      </c>
      <c r="K8" s="2">
        <v>7</v>
      </c>
      <c r="L8" s="2">
        <v>8</v>
      </c>
      <c r="M8" s="2">
        <v>9</v>
      </c>
      <c r="N8" s="2">
        <v>10</v>
      </c>
      <c r="O8" s="2">
        <v>11</v>
      </c>
      <c r="P8" s="2">
        <v>12</v>
      </c>
      <c r="Q8" s="2">
        <v>13</v>
      </c>
      <c r="R8" s="2">
        <v>14</v>
      </c>
      <c r="S8" s="2">
        <v>15</v>
      </c>
      <c r="T8" s="2">
        <v>16</v>
      </c>
      <c r="U8" s="2">
        <v>17</v>
      </c>
      <c r="V8" s="2">
        <v>18</v>
      </c>
      <c r="W8" s="2">
        <v>19</v>
      </c>
      <c r="X8" s="2">
        <v>20</v>
      </c>
      <c r="Y8" s="2">
        <v>21</v>
      </c>
      <c r="Z8" s="2">
        <v>22</v>
      </c>
      <c r="AA8" s="2">
        <v>23</v>
      </c>
      <c r="AB8" s="2">
        <v>24</v>
      </c>
      <c r="AC8" s="2">
        <v>25</v>
      </c>
    </row>
    <row r="9" spans="2:29" ht="15" customHeight="1" x14ac:dyDescent="0.15">
      <c r="B9" s="217" t="s">
        <v>5</v>
      </c>
      <c r="C9" s="218"/>
      <c r="D9" s="219"/>
      <c r="E9" s="16">
        <f>行政人口の見通し!E3</f>
        <v>21000</v>
      </c>
      <c r="F9" s="16">
        <f>行政人口の見通し!F3</f>
        <v>20930</v>
      </c>
      <c r="G9" s="16">
        <f>行政人口の見通し!G3</f>
        <v>20846</v>
      </c>
      <c r="H9" s="16">
        <f>行政人口の見通し!H3</f>
        <v>20748</v>
      </c>
      <c r="I9" s="16">
        <f>行政人口の見通し!I3</f>
        <v>20636</v>
      </c>
      <c r="J9" s="16">
        <f>行政人口の見通し!J3</f>
        <v>20510</v>
      </c>
      <c r="K9" s="16">
        <f>行政人口の見通し!K3</f>
        <v>20370</v>
      </c>
      <c r="L9" s="16">
        <f>行政人口の見通し!L3</f>
        <v>20216</v>
      </c>
      <c r="M9" s="16">
        <f>行政人口の見通し!M3</f>
        <v>20048</v>
      </c>
      <c r="N9" s="16">
        <f>行政人口の見通し!N3</f>
        <v>19866</v>
      </c>
      <c r="O9" s="16">
        <f>行政人口の見通し!O3</f>
        <v>19670</v>
      </c>
      <c r="P9" s="16">
        <f>行政人口の見通し!P3</f>
        <v>19460</v>
      </c>
      <c r="Q9" s="16">
        <f>行政人口の見通し!Q3</f>
        <v>19236</v>
      </c>
      <c r="R9" s="16">
        <f>行政人口の見通し!R3</f>
        <v>18998</v>
      </c>
      <c r="S9" s="16">
        <f>行政人口の見通し!S3</f>
        <v>18746</v>
      </c>
      <c r="T9" s="16">
        <f>行政人口の見通し!T3</f>
        <v>18480</v>
      </c>
      <c r="U9" s="16">
        <f>行政人口の見通し!U3</f>
        <v>18200</v>
      </c>
      <c r="V9" s="16">
        <f>行政人口の見通し!V3</f>
        <v>17906</v>
      </c>
      <c r="W9" s="16">
        <f>行政人口の見通し!W3</f>
        <v>17598</v>
      </c>
      <c r="X9" s="16">
        <f>行政人口の見通し!X3</f>
        <v>17276</v>
      </c>
      <c r="Y9" s="16">
        <f>行政人口の見通し!Y3</f>
        <v>16940</v>
      </c>
      <c r="Z9" s="16">
        <f>行政人口の見通し!Z3</f>
        <v>16590</v>
      </c>
      <c r="AA9" s="16">
        <f>行政人口の見通し!AA3</f>
        <v>16226</v>
      </c>
      <c r="AB9" s="16">
        <f>行政人口の見通し!AB3</f>
        <v>15848</v>
      </c>
      <c r="AC9" s="16">
        <f>行政人口の見通し!AC3</f>
        <v>15456</v>
      </c>
    </row>
    <row r="10" spans="2:29" ht="15" customHeight="1" x14ac:dyDescent="0.15">
      <c r="B10" s="151"/>
      <c r="C10" s="137" t="s">
        <v>39</v>
      </c>
      <c r="D10" s="4"/>
      <c r="E10" s="16">
        <f>E4</f>
        <v>21000</v>
      </c>
      <c r="F10" s="16">
        <f>SUM(F11:F12)</f>
        <v>20930</v>
      </c>
      <c r="G10" s="16">
        <f t="shared" ref="G10:AC10" si="1">SUM(G11:G12)</f>
        <v>20846</v>
      </c>
      <c r="H10" s="16">
        <f t="shared" si="1"/>
        <v>20748</v>
      </c>
      <c r="I10" s="16">
        <f t="shared" si="1"/>
        <v>20636</v>
      </c>
      <c r="J10" s="16">
        <f t="shared" si="1"/>
        <v>20510</v>
      </c>
      <c r="K10" s="16">
        <f t="shared" si="1"/>
        <v>20370</v>
      </c>
      <c r="L10" s="16">
        <f t="shared" si="1"/>
        <v>20216</v>
      </c>
      <c r="M10" s="16">
        <f t="shared" si="1"/>
        <v>20048</v>
      </c>
      <c r="N10" s="16">
        <f t="shared" si="1"/>
        <v>19866</v>
      </c>
      <c r="O10" s="16">
        <f t="shared" si="1"/>
        <v>19670</v>
      </c>
      <c r="P10" s="16">
        <f t="shared" si="1"/>
        <v>19460</v>
      </c>
      <c r="Q10" s="16">
        <f t="shared" si="1"/>
        <v>19236</v>
      </c>
      <c r="R10" s="16">
        <f t="shared" si="1"/>
        <v>18998</v>
      </c>
      <c r="S10" s="16">
        <f t="shared" si="1"/>
        <v>18746</v>
      </c>
      <c r="T10" s="16">
        <f t="shared" si="1"/>
        <v>18480</v>
      </c>
      <c r="U10" s="16">
        <f t="shared" si="1"/>
        <v>18200</v>
      </c>
      <c r="V10" s="16">
        <f t="shared" si="1"/>
        <v>17906</v>
      </c>
      <c r="W10" s="16">
        <f t="shared" si="1"/>
        <v>17598</v>
      </c>
      <c r="X10" s="16">
        <f t="shared" si="1"/>
        <v>17276</v>
      </c>
      <c r="Y10" s="16">
        <f t="shared" si="1"/>
        <v>16940</v>
      </c>
      <c r="Z10" s="16">
        <f t="shared" si="1"/>
        <v>16590</v>
      </c>
      <c r="AA10" s="16">
        <f t="shared" si="1"/>
        <v>16226</v>
      </c>
      <c r="AB10" s="16">
        <f t="shared" si="1"/>
        <v>15848</v>
      </c>
      <c r="AC10" s="16">
        <f t="shared" si="1"/>
        <v>15456</v>
      </c>
    </row>
    <row r="11" spans="2:29" ht="15" customHeight="1" x14ac:dyDescent="0.15">
      <c r="B11" s="151"/>
      <c r="C11" s="151"/>
      <c r="D11" s="4" t="s">
        <v>40</v>
      </c>
      <c r="E11" s="16">
        <f>E5</f>
        <v>14000</v>
      </c>
      <c r="F11" s="16">
        <f t="shared" ref="F11:AC11" si="2">ROUND(F$9*$F5,0)</f>
        <v>13953</v>
      </c>
      <c r="G11" s="16">
        <f t="shared" si="2"/>
        <v>13897</v>
      </c>
      <c r="H11" s="16">
        <f t="shared" si="2"/>
        <v>13832</v>
      </c>
      <c r="I11" s="16">
        <f t="shared" si="2"/>
        <v>13757</v>
      </c>
      <c r="J11" s="16">
        <f t="shared" si="2"/>
        <v>13673</v>
      </c>
      <c r="K11" s="16">
        <f t="shared" si="2"/>
        <v>13580</v>
      </c>
      <c r="L11" s="16">
        <f t="shared" si="2"/>
        <v>13477</v>
      </c>
      <c r="M11" s="16">
        <f t="shared" si="2"/>
        <v>13365</v>
      </c>
      <c r="N11" s="16">
        <f t="shared" si="2"/>
        <v>13244</v>
      </c>
      <c r="O11" s="16">
        <f t="shared" si="2"/>
        <v>13113</v>
      </c>
      <c r="P11" s="16">
        <f t="shared" si="2"/>
        <v>12973</v>
      </c>
      <c r="Q11" s="16">
        <f t="shared" si="2"/>
        <v>12824</v>
      </c>
      <c r="R11" s="16">
        <f t="shared" si="2"/>
        <v>12665</v>
      </c>
      <c r="S11" s="16">
        <f t="shared" si="2"/>
        <v>12497</v>
      </c>
      <c r="T11" s="16">
        <f t="shared" si="2"/>
        <v>12320</v>
      </c>
      <c r="U11" s="16">
        <f t="shared" si="2"/>
        <v>12133</v>
      </c>
      <c r="V11" s="16">
        <f t="shared" si="2"/>
        <v>11937</v>
      </c>
      <c r="W11" s="16">
        <f t="shared" si="2"/>
        <v>11732</v>
      </c>
      <c r="X11" s="16">
        <f t="shared" si="2"/>
        <v>11517</v>
      </c>
      <c r="Y11" s="16">
        <f t="shared" si="2"/>
        <v>11293</v>
      </c>
      <c r="Z11" s="16">
        <f t="shared" si="2"/>
        <v>11060</v>
      </c>
      <c r="AA11" s="16">
        <f t="shared" si="2"/>
        <v>10817</v>
      </c>
      <c r="AB11" s="16">
        <f t="shared" si="2"/>
        <v>10565</v>
      </c>
      <c r="AC11" s="16">
        <f t="shared" si="2"/>
        <v>10304</v>
      </c>
    </row>
    <row r="12" spans="2:29" ht="15" customHeight="1" x14ac:dyDescent="0.15">
      <c r="B12" s="3"/>
      <c r="C12" s="3"/>
      <c r="D12" s="4" t="s">
        <v>41</v>
      </c>
      <c r="E12" s="16">
        <f>E6</f>
        <v>7000</v>
      </c>
      <c r="F12" s="16">
        <f t="shared" ref="F12:AB12" si="3">ROUND(F$9*$F6,0)</f>
        <v>6977</v>
      </c>
      <c r="G12" s="16">
        <f t="shared" si="3"/>
        <v>6949</v>
      </c>
      <c r="H12" s="16">
        <f t="shared" si="3"/>
        <v>6916</v>
      </c>
      <c r="I12" s="16">
        <f t="shared" si="3"/>
        <v>6879</v>
      </c>
      <c r="J12" s="16">
        <f t="shared" si="3"/>
        <v>6837</v>
      </c>
      <c r="K12" s="16">
        <f t="shared" si="3"/>
        <v>6790</v>
      </c>
      <c r="L12" s="16">
        <f t="shared" si="3"/>
        <v>6739</v>
      </c>
      <c r="M12" s="16">
        <f t="shared" si="3"/>
        <v>6683</v>
      </c>
      <c r="N12" s="16">
        <f t="shared" si="3"/>
        <v>6622</v>
      </c>
      <c r="O12" s="16">
        <f t="shared" si="3"/>
        <v>6557</v>
      </c>
      <c r="P12" s="16">
        <f t="shared" si="3"/>
        <v>6487</v>
      </c>
      <c r="Q12" s="16">
        <f t="shared" si="3"/>
        <v>6412</v>
      </c>
      <c r="R12" s="16">
        <f t="shared" si="3"/>
        <v>6333</v>
      </c>
      <c r="S12" s="16">
        <f t="shared" si="3"/>
        <v>6249</v>
      </c>
      <c r="T12" s="16">
        <f t="shared" si="3"/>
        <v>6160</v>
      </c>
      <c r="U12" s="16">
        <f t="shared" si="3"/>
        <v>6067</v>
      </c>
      <c r="V12" s="16">
        <f t="shared" si="3"/>
        <v>5969</v>
      </c>
      <c r="W12" s="16">
        <f t="shared" si="3"/>
        <v>5866</v>
      </c>
      <c r="X12" s="16">
        <f t="shared" si="3"/>
        <v>5759</v>
      </c>
      <c r="Y12" s="16">
        <f t="shared" si="3"/>
        <v>5647</v>
      </c>
      <c r="Z12" s="16">
        <f t="shared" si="3"/>
        <v>5530</v>
      </c>
      <c r="AA12" s="16">
        <f t="shared" si="3"/>
        <v>5409</v>
      </c>
      <c r="AB12" s="16">
        <f t="shared" si="3"/>
        <v>5283</v>
      </c>
      <c r="AC12" s="16">
        <f>ROUND(AC$9*$F6,0)</f>
        <v>5152</v>
      </c>
    </row>
    <row r="13" spans="2:29" ht="9.75" customHeight="1" x14ac:dyDescent="0.15">
      <c r="F13" s="170"/>
    </row>
    <row r="24" spans="14:14" x14ac:dyDescent="0.15">
      <c r="N24" s="186" t="s">
        <v>264</v>
      </c>
    </row>
  </sheetData>
  <mergeCells count="4">
    <mergeCell ref="B2:D2"/>
    <mergeCell ref="B3:D3"/>
    <mergeCell ref="B8:D8"/>
    <mergeCell ref="B9:D9"/>
  </mergeCells>
  <phoneticPr fontId="30"/>
  <pageMargins left="0.69930555555555596" right="0.69930555555555596"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F8"/>
  <sheetViews>
    <sheetView showGridLines="0" workbookViewId="0">
      <selection activeCell="F32" sqref="F32"/>
    </sheetView>
  </sheetViews>
  <sheetFormatPr defaultColWidth="9" defaultRowHeight="13.5" x14ac:dyDescent="0.15"/>
  <cols>
    <col min="2" max="2" width="25.25" customWidth="1"/>
    <col min="3" max="3" width="9" customWidth="1"/>
    <col min="4" max="4" width="15.625" customWidth="1"/>
    <col min="5" max="5" width="16" customWidth="1"/>
    <col min="6" max="6" width="9.875" customWidth="1"/>
  </cols>
  <sheetData>
    <row r="4" spans="2:6" x14ac:dyDescent="0.15">
      <c r="B4" s="220" t="s">
        <v>82</v>
      </c>
      <c r="C4" s="220" t="s">
        <v>83</v>
      </c>
      <c r="D4" s="7" t="s">
        <v>84</v>
      </c>
      <c r="E4" s="7" t="s">
        <v>85</v>
      </c>
      <c r="F4" s="7" t="s">
        <v>86</v>
      </c>
    </row>
    <row r="5" spans="2:6" ht="15.75" x14ac:dyDescent="0.15">
      <c r="B5" s="221"/>
      <c r="C5" s="221"/>
      <c r="D5" s="8" t="s">
        <v>87</v>
      </c>
      <c r="E5" s="8" t="s">
        <v>87</v>
      </c>
      <c r="F5" s="8" t="s">
        <v>8</v>
      </c>
    </row>
    <row r="6" spans="2:6" x14ac:dyDescent="0.15">
      <c r="B6" s="216"/>
      <c r="C6" s="216"/>
      <c r="D6" s="161" t="s">
        <v>88</v>
      </c>
      <c r="E6" s="161" t="s">
        <v>89</v>
      </c>
      <c r="F6" s="161" t="s">
        <v>90</v>
      </c>
    </row>
    <row r="7" spans="2:6" x14ac:dyDescent="0.15">
      <c r="B7" s="3" t="s">
        <v>91</v>
      </c>
      <c r="C7" s="3" t="s">
        <v>92</v>
      </c>
      <c r="D7" s="16">
        <v>9000</v>
      </c>
      <c r="E7" s="36">
        <f>流入水量!D7</f>
        <v>4060</v>
      </c>
      <c r="F7" s="166">
        <f t="shared" ref="F7:F8" si="0">E7/D7</f>
        <v>0.45111111111111113</v>
      </c>
    </row>
    <row r="8" spans="2:6" ht="14.25" customHeight="1" x14ac:dyDescent="0.15">
      <c r="B8" s="4" t="s">
        <v>93</v>
      </c>
      <c r="C8" s="4" t="s">
        <v>94</v>
      </c>
      <c r="D8" s="17">
        <v>4700</v>
      </c>
      <c r="E8" s="25">
        <f>流入水量!D8</f>
        <v>2030</v>
      </c>
      <c r="F8" s="167">
        <f t="shared" si="0"/>
        <v>0.43191489361702129</v>
      </c>
    </row>
  </sheetData>
  <mergeCells count="2">
    <mergeCell ref="B4:B6"/>
    <mergeCell ref="C4:C6"/>
  </mergeCells>
  <phoneticPr fontId="30"/>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8"/>
  <sheetViews>
    <sheetView showGridLines="0" workbookViewId="0">
      <selection activeCell="F31" sqref="F31"/>
    </sheetView>
  </sheetViews>
  <sheetFormatPr defaultColWidth="9" defaultRowHeight="13.5" x14ac:dyDescent="0.15"/>
  <cols>
    <col min="2" max="2" width="13.375" customWidth="1"/>
    <col min="3" max="3" width="21" customWidth="1"/>
    <col min="4" max="6" width="13.75" customWidth="1"/>
    <col min="7" max="7" width="25.25" customWidth="1"/>
    <col min="8" max="8" width="15.5" customWidth="1"/>
  </cols>
  <sheetData>
    <row r="3" spans="2:8" ht="13.5" customHeight="1" x14ac:dyDescent="0.15">
      <c r="B3" s="221" t="s">
        <v>82</v>
      </c>
      <c r="C3" s="224" t="s">
        <v>83</v>
      </c>
      <c r="D3" s="230" t="s">
        <v>95</v>
      </c>
      <c r="E3" s="231"/>
      <c r="F3" s="232"/>
      <c r="G3" s="226" t="s">
        <v>96</v>
      </c>
      <c r="H3" s="228" t="s">
        <v>45</v>
      </c>
    </row>
    <row r="4" spans="2:8" ht="27" x14ac:dyDescent="0.15">
      <c r="B4" s="233"/>
      <c r="C4" s="225"/>
      <c r="D4" s="162" t="s">
        <v>97</v>
      </c>
      <c r="E4" s="149" t="s">
        <v>98</v>
      </c>
      <c r="F4" s="149" t="s">
        <v>99</v>
      </c>
      <c r="G4" s="227"/>
      <c r="H4" s="229"/>
    </row>
    <row r="5" spans="2:8" x14ac:dyDescent="0.15">
      <c r="B5" s="234" t="s">
        <v>91</v>
      </c>
      <c r="C5" s="3" t="s">
        <v>92</v>
      </c>
      <c r="D5" s="16">
        <f>D12*処理能力と稼働率!E7*365/1000</f>
        <v>111142.5</v>
      </c>
      <c r="E5" s="16">
        <f>+D5-F5</f>
        <v>94841.600000000006</v>
      </c>
      <c r="F5" s="16">
        <f>F12*処理能力と稼働率!E7*365/1000</f>
        <v>16300.9</v>
      </c>
      <c r="G5" s="16">
        <f>F5/15*1000</f>
        <v>1086726.6666666667</v>
      </c>
      <c r="H5" s="136"/>
    </row>
    <row r="6" spans="2:8" x14ac:dyDescent="0.15">
      <c r="B6" s="235"/>
      <c r="C6" s="4" t="s">
        <v>100</v>
      </c>
      <c r="D6" s="16">
        <f>+ROUND(D5*0.36,0)</f>
        <v>40011</v>
      </c>
      <c r="E6" s="163"/>
      <c r="F6" s="163"/>
      <c r="G6" s="163"/>
      <c r="H6" s="136" t="s">
        <v>101</v>
      </c>
    </row>
    <row r="7" spans="2:8" ht="22.5" customHeight="1" x14ac:dyDescent="0.15">
      <c r="B7" s="4" t="s">
        <v>93</v>
      </c>
      <c r="C7" s="4" t="s">
        <v>94</v>
      </c>
      <c r="D7" s="16">
        <f>D14*処理能力と稼働率!E8*365/1000</f>
        <v>62980.75</v>
      </c>
      <c r="E7" s="16">
        <f>+D7-F7</f>
        <v>53348.4</v>
      </c>
      <c r="F7" s="16">
        <f>F14*処理能力と稼働率!E8*365/1000</f>
        <v>9632.35</v>
      </c>
      <c r="G7" s="16">
        <f>F7/15*1000</f>
        <v>642156.66666666663</v>
      </c>
      <c r="H7" s="136"/>
    </row>
    <row r="8" spans="2:8" ht="22.5" customHeight="1" x14ac:dyDescent="0.15">
      <c r="B8" s="114" t="s">
        <v>102</v>
      </c>
    </row>
    <row r="9" spans="2:8" x14ac:dyDescent="0.15">
      <c r="B9" s="114" t="s">
        <v>103</v>
      </c>
    </row>
    <row r="10" spans="2:8" ht="15.75" x14ac:dyDescent="0.15">
      <c r="F10" s="10" t="s">
        <v>104</v>
      </c>
    </row>
    <row r="11" spans="2:8" ht="27" x14ac:dyDescent="0.15">
      <c r="B11" s="1" t="s">
        <v>82</v>
      </c>
      <c r="C11" s="1" t="s">
        <v>83</v>
      </c>
      <c r="D11" s="179" t="s">
        <v>256</v>
      </c>
      <c r="E11" s="149" t="s">
        <v>105</v>
      </c>
      <c r="F11" s="149" t="s">
        <v>106</v>
      </c>
      <c r="G11" s="164" t="s">
        <v>45</v>
      </c>
    </row>
    <row r="12" spans="2:8" x14ac:dyDescent="0.15">
      <c r="B12" s="222" t="s">
        <v>91</v>
      </c>
      <c r="C12" s="3" t="s">
        <v>92</v>
      </c>
      <c r="D12" s="16">
        <v>75</v>
      </c>
      <c r="E12" s="16">
        <f>D12-F12</f>
        <v>64</v>
      </c>
      <c r="F12" s="16">
        <v>11</v>
      </c>
      <c r="G12" s="3"/>
    </row>
    <row r="13" spans="2:8" x14ac:dyDescent="0.15">
      <c r="B13" s="223"/>
      <c r="C13" s="4" t="s">
        <v>100</v>
      </c>
      <c r="D13" s="17">
        <f>1000*D6/(365*'経済性比較、エネルギー、GHG'!E121)</f>
        <v>1588.68374032162</v>
      </c>
      <c r="E13" s="165"/>
      <c r="F13" s="165"/>
      <c r="G13" s="136" t="s">
        <v>101</v>
      </c>
    </row>
    <row r="14" spans="2:8" ht="26.25" customHeight="1" x14ac:dyDescent="0.15">
      <c r="B14" s="6" t="s">
        <v>93</v>
      </c>
      <c r="C14" s="4" t="s">
        <v>94</v>
      </c>
      <c r="D14" s="17">
        <v>85</v>
      </c>
      <c r="E14" s="17">
        <f>D14-F14</f>
        <v>72</v>
      </c>
      <c r="F14" s="17">
        <v>13</v>
      </c>
      <c r="G14" s="4"/>
    </row>
    <row r="15" spans="2:8" ht="26.25" customHeight="1" x14ac:dyDescent="0.15">
      <c r="B15" s="114" t="s">
        <v>107</v>
      </c>
    </row>
    <row r="16" spans="2:8" x14ac:dyDescent="0.15">
      <c r="B16" s="114" t="s">
        <v>103</v>
      </c>
    </row>
    <row r="18" spans="8:8" x14ac:dyDescent="0.15">
      <c r="H18" s="93"/>
    </row>
  </sheetData>
  <mergeCells count="7">
    <mergeCell ref="B12:B13"/>
    <mergeCell ref="C3:C4"/>
    <mergeCell ref="G3:G4"/>
    <mergeCell ref="H3:H4"/>
    <mergeCell ref="D3:F3"/>
    <mergeCell ref="B3:B4"/>
    <mergeCell ref="B5:B6"/>
  </mergeCells>
  <phoneticPr fontId="30"/>
  <pageMargins left="0.69930555555555596" right="0.69930555555555596" top="0.75" bottom="0.75" header="0.3" footer="0.3"/>
  <pageSetup paperSize="9" orientation="portrait"/>
  <ignoredErrors>
    <ignoredError sqref="E7 E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C5"/>
  <sheetViews>
    <sheetView showGridLines="0" zoomScale="85" zoomScaleNormal="85" workbookViewId="0">
      <selection activeCell="V36" sqref="V36"/>
    </sheetView>
  </sheetViews>
  <sheetFormatPr defaultColWidth="9" defaultRowHeight="13.5" x14ac:dyDescent="0.15"/>
  <cols>
    <col min="1" max="1" width="9" style="198"/>
    <col min="2" max="2" width="17.25" style="198" customWidth="1"/>
    <col min="3" max="4" width="8.875" style="198" customWidth="1"/>
    <col min="5" max="29" width="4.625" style="198" customWidth="1"/>
    <col min="30" max="16384" width="9" style="198"/>
  </cols>
  <sheetData>
    <row r="3" spans="2:29" ht="14.25" thickBot="1" x14ac:dyDescent="0.2">
      <c r="B3" s="194"/>
      <c r="C3" s="195" t="s">
        <v>266</v>
      </c>
      <c r="D3" s="196" t="s">
        <v>267</v>
      </c>
      <c r="E3" s="197">
        <v>1</v>
      </c>
      <c r="F3" s="197">
        <v>2</v>
      </c>
      <c r="G3" s="197">
        <v>3</v>
      </c>
      <c r="H3" s="197">
        <v>4</v>
      </c>
      <c r="I3" s="197">
        <v>5</v>
      </c>
      <c r="J3" s="197">
        <v>6</v>
      </c>
      <c r="K3" s="197">
        <v>7</v>
      </c>
      <c r="L3" s="197">
        <v>8</v>
      </c>
      <c r="M3" s="197">
        <v>9</v>
      </c>
      <c r="N3" s="197">
        <v>10</v>
      </c>
      <c r="O3" s="197">
        <v>11</v>
      </c>
      <c r="P3" s="197">
        <v>12</v>
      </c>
      <c r="Q3" s="197">
        <v>13</v>
      </c>
      <c r="R3" s="197">
        <v>14</v>
      </c>
      <c r="S3" s="197">
        <v>15</v>
      </c>
      <c r="T3" s="197">
        <v>16</v>
      </c>
      <c r="U3" s="197">
        <v>17</v>
      </c>
      <c r="V3" s="197">
        <v>18</v>
      </c>
      <c r="W3" s="197">
        <v>19</v>
      </c>
      <c r="X3" s="197">
        <v>20</v>
      </c>
      <c r="Y3" s="197">
        <v>21</v>
      </c>
      <c r="Z3" s="197">
        <v>22</v>
      </c>
      <c r="AA3" s="197">
        <v>23</v>
      </c>
      <c r="AB3" s="197">
        <v>24</v>
      </c>
      <c r="AC3" s="197">
        <v>25</v>
      </c>
    </row>
    <row r="4" spans="2:29" ht="14.25" customHeight="1" thickTop="1" x14ac:dyDescent="0.15">
      <c r="B4" s="199" t="s">
        <v>91</v>
      </c>
      <c r="C4" s="200" t="s">
        <v>268</v>
      </c>
      <c r="D4" s="201" t="s">
        <v>269</v>
      </c>
      <c r="E4" s="201"/>
      <c r="F4" s="202"/>
      <c r="G4" s="203"/>
      <c r="H4" s="203"/>
      <c r="I4" s="203"/>
      <c r="J4" s="203"/>
      <c r="K4" s="204"/>
      <c r="L4" s="203"/>
      <c r="M4" s="203"/>
      <c r="N4" s="202"/>
      <c r="O4" s="203"/>
      <c r="P4" s="205"/>
      <c r="Q4" s="202"/>
      <c r="R4" s="202"/>
      <c r="S4" s="202"/>
      <c r="T4" s="202"/>
      <c r="U4" s="202"/>
      <c r="V4" s="202"/>
      <c r="W4" s="202"/>
      <c r="X4" s="202"/>
      <c r="Y4" s="202"/>
      <c r="Z4" s="202"/>
      <c r="AA4" s="202"/>
      <c r="AB4" s="202"/>
      <c r="AC4" s="202"/>
    </row>
    <row r="5" spans="2:29" x14ac:dyDescent="0.15">
      <c r="B5" s="206" t="s">
        <v>93</v>
      </c>
      <c r="C5" s="207" t="s">
        <v>268</v>
      </c>
      <c r="D5" s="208" t="s">
        <v>270</v>
      </c>
      <c r="E5" s="209"/>
      <c r="F5" s="210"/>
      <c r="G5" s="210"/>
      <c r="H5" s="210"/>
      <c r="I5" s="210"/>
      <c r="J5" s="211"/>
      <c r="K5" s="210"/>
      <c r="L5" s="210"/>
      <c r="M5" s="210"/>
      <c r="N5" s="212"/>
      <c r="O5" s="210"/>
      <c r="P5" s="212"/>
      <c r="Q5" s="212"/>
      <c r="R5" s="212"/>
      <c r="S5" s="212"/>
      <c r="T5" s="212"/>
      <c r="U5" s="212"/>
      <c r="V5" s="212"/>
      <c r="W5" s="212"/>
      <c r="X5" s="212"/>
      <c r="Y5" s="212"/>
      <c r="Z5" s="212"/>
      <c r="AA5" s="212"/>
      <c r="AB5" s="212"/>
      <c r="AC5" s="212"/>
    </row>
  </sheetData>
  <phoneticPr fontId="30"/>
  <pageMargins left="0.69930555555555596" right="0.69930555555555596"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election activeCell="F42" sqref="F42"/>
    </sheetView>
  </sheetViews>
  <sheetFormatPr defaultColWidth="9" defaultRowHeight="13.5" x14ac:dyDescent="0.15"/>
  <cols>
    <col min="2" max="2" width="16.625" customWidth="1"/>
    <col min="3" max="4" width="12.625" customWidth="1"/>
    <col min="5" max="5" width="20.875" customWidth="1"/>
  </cols>
  <sheetData>
    <row r="1" spans="1:5" x14ac:dyDescent="0.15">
      <c r="E1" s="10" t="s">
        <v>42</v>
      </c>
    </row>
    <row r="2" spans="1:5" ht="20.100000000000001" customHeight="1" x14ac:dyDescent="0.15">
      <c r="A2" s="220" t="s">
        <v>43</v>
      </c>
      <c r="B2" s="220"/>
      <c r="C2" s="220" t="s">
        <v>44</v>
      </c>
      <c r="D2" s="220"/>
      <c r="E2" s="220" t="s">
        <v>45</v>
      </c>
    </row>
    <row r="3" spans="1:5" ht="20.100000000000001" customHeight="1" x14ac:dyDescent="0.15">
      <c r="A3" s="216"/>
      <c r="B3" s="216"/>
      <c r="C3" s="1" t="s">
        <v>46</v>
      </c>
      <c r="D3" s="1" t="s">
        <v>47</v>
      </c>
      <c r="E3" s="216"/>
    </row>
    <row r="4" spans="1:5" ht="20.100000000000001" customHeight="1" x14ac:dyDescent="0.15">
      <c r="A4" s="236" t="s">
        <v>48</v>
      </c>
      <c r="B4" s="3" t="s">
        <v>49</v>
      </c>
      <c r="C4" s="3">
        <v>290</v>
      </c>
      <c r="D4" s="3">
        <f>+ROUND(C4/0.7,-1)</f>
        <v>410</v>
      </c>
      <c r="E4" s="3" t="s">
        <v>50</v>
      </c>
    </row>
    <row r="5" spans="1:5" ht="16.5" customHeight="1" x14ac:dyDescent="0.15">
      <c r="A5" s="223"/>
      <c r="B5" s="4" t="s">
        <v>51</v>
      </c>
      <c r="C5" s="4">
        <v>290</v>
      </c>
      <c r="D5" s="4">
        <f>+ROUND(C4/0.7,-1)</f>
        <v>410</v>
      </c>
      <c r="E5" s="6" t="s">
        <v>52</v>
      </c>
    </row>
    <row r="6" spans="1:5" ht="16.5" customHeight="1" x14ac:dyDescent="0.15"/>
  </sheetData>
  <mergeCells count="4">
    <mergeCell ref="C2:D2"/>
    <mergeCell ref="A4:A5"/>
    <mergeCell ref="E2:E3"/>
    <mergeCell ref="A2:B3"/>
  </mergeCells>
  <phoneticPr fontId="30"/>
  <pageMargins left="0.69930555555555596" right="0.69930555555555596"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I22" sqref="I22"/>
    </sheetView>
  </sheetViews>
  <sheetFormatPr defaultColWidth="9" defaultRowHeight="13.5" x14ac:dyDescent="0.15"/>
  <cols>
    <col min="3" max="5" width="21.625" customWidth="1"/>
  </cols>
  <sheetData>
    <row r="1" spans="2:5" x14ac:dyDescent="0.15">
      <c r="E1" s="10"/>
    </row>
    <row r="3" spans="2:5" x14ac:dyDescent="0.15">
      <c r="D3" s="10" t="s">
        <v>283</v>
      </c>
    </row>
    <row r="4" spans="2:5" x14ac:dyDescent="0.15">
      <c r="B4" s="188" t="s">
        <v>284</v>
      </c>
      <c r="C4" s="188" t="s">
        <v>285</v>
      </c>
      <c r="D4" s="188" t="s">
        <v>286</v>
      </c>
    </row>
    <row r="5" spans="2:5" x14ac:dyDescent="0.15">
      <c r="B5" s="190" t="s">
        <v>287</v>
      </c>
      <c r="C5" s="213">
        <v>210</v>
      </c>
      <c r="D5" s="190" t="s">
        <v>288</v>
      </c>
    </row>
    <row r="6" spans="2:5" x14ac:dyDescent="0.15">
      <c r="B6" s="189" t="s">
        <v>289</v>
      </c>
      <c r="C6" s="24" t="s">
        <v>290</v>
      </c>
      <c r="D6" s="189" t="s">
        <v>291</v>
      </c>
    </row>
    <row r="7" spans="2:5" x14ac:dyDescent="0.15">
      <c r="B7" s="189" t="s">
        <v>292</v>
      </c>
      <c r="C7" s="24">
        <v>180</v>
      </c>
      <c r="D7" s="189" t="s">
        <v>288</v>
      </c>
    </row>
    <row r="8" spans="2:5" x14ac:dyDescent="0.15">
      <c r="B8" s="189" t="s">
        <v>293</v>
      </c>
      <c r="C8" s="24">
        <v>40</v>
      </c>
      <c r="D8" s="189" t="s">
        <v>288</v>
      </c>
    </row>
    <row r="9" spans="2:5" x14ac:dyDescent="0.15">
      <c r="B9" s="189" t="s">
        <v>294</v>
      </c>
      <c r="C9" s="24" t="s">
        <v>290</v>
      </c>
      <c r="D9" s="189" t="s">
        <v>291</v>
      </c>
    </row>
    <row r="10" spans="2:5" x14ac:dyDescent="0.15">
      <c r="B10" s="189" t="s">
        <v>295</v>
      </c>
      <c r="C10" s="24">
        <v>5</v>
      </c>
      <c r="D10" s="189" t="s">
        <v>288</v>
      </c>
    </row>
  </sheetData>
  <phoneticPr fontId="30"/>
  <pageMargins left="0.69930555555555596" right="0.69930555555555596"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B9"/>
  <sheetViews>
    <sheetView zoomScale="85" zoomScaleNormal="85" workbookViewId="0">
      <selection activeCell="H37" sqref="H37"/>
    </sheetView>
  </sheetViews>
  <sheetFormatPr defaultColWidth="9" defaultRowHeight="13.5" outlineLevelCol="1" x14ac:dyDescent="0.15"/>
  <cols>
    <col min="2" max="2" width="4" customWidth="1"/>
    <col min="3" max="3" width="21.375" customWidth="1"/>
    <col min="4" max="15" width="9" customWidth="1" outlineLevel="1"/>
  </cols>
  <sheetData>
    <row r="4" spans="1:28" x14ac:dyDescent="0.15">
      <c r="D4" s="111"/>
      <c r="E4" s="111"/>
      <c r="F4" s="111"/>
      <c r="G4" s="111"/>
      <c r="H4" s="111"/>
      <c r="I4" s="111"/>
      <c r="J4" s="111"/>
      <c r="K4" s="111"/>
      <c r="L4" s="111"/>
      <c r="M4" s="111"/>
      <c r="N4" s="111"/>
      <c r="O4" s="111"/>
      <c r="P4" s="111"/>
      <c r="Q4" s="111"/>
      <c r="R4" s="111"/>
      <c r="S4" s="111"/>
      <c r="T4" s="111"/>
      <c r="U4" s="111"/>
      <c r="V4" s="111"/>
      <c r="W4" s="111"/>
      <c r="X4" s="111"/>
      <c r="Y4" s="111"/>
      <c r="Z4" s="111"/>
      <c r="AA4" s="111"/>
      <c r="AB4" s="111"/>
    </row>
    <row r="5" spans="1:28" x14ac:dyDescent="0.15">
      <c r="B5" s="111"/>
      <c r="C5" s="111"/>
      <c r="D5" s="168"/>
      <c r="E5" s="168"/>
      <c r="F5" s="168"/>
      <c r="G5" s="168"/>
      <c r="H5" s="168"/>
      <c r="I5" s="168"/>
      <c r="J5" s="168"/>
      <c r="K5" s="168"/>
      <c r="L5" s="168"/>
      <c r="M5" s="168"/>
      <c r="N5" s="168"/>
      <c r="O5" s="168"/>
      <c r="P5" s="168"/>
      <c r="Q5" s="168"/>
      <c r="R5" s="168"/>
      <c r="S5" s="168"/>
      <c r="T5" s="168"/>
      <c r="U5" s="168"/>
      <c r="V5" s="168"/>
      <c r="W5" s="168"/>
      <c r="X5" s="168"/>
      <c r="Y5" s="168"/>
      <c r="Z5" s="168"/>
      <c r="AA5" s="168"/>
      <c r="AB5" s="168"/>
    </row>
    <row r="6" spans="1:28" ht="20.100000000000001" customHeight="1" x14ac:dyDescent="0.15">
      <c r="A6" s="216" t="s">
        <v>54</v>
      </c>
      <c r="B6" s="216"/>
      <c r="C6" s="216"/>
      <c r="D6" s="169" t="s">
        <v>55</v>
      </c>
      <c r="E6" s="169" t="s">
        <v>56</v>
      </c>
      <c r="F6" s="169" t="s">
        <v>57</v>
      </c>
      <c r="G6" s="169" t="s">
        <v>58</v>
      </c>
      <c r="H6" s="169" t="s">
        <v>59</v>
      </c>
      <c r="I6" s="169" t="s">
        <v>60</v>
      </c>
      <c r="J6" s="169" t="s">
        <v>61</v>
      </c>
      <c r="K6" s="169" t="s">
        <v>62</v>
      </c>
      <c r="L6" s="169" t="s">
        <v>63</v>
      </c>
      <c r="M6" s="169" t="s">
        <v>64</v>
      </c>
      <c r="N6" s="169" t="s">
        <v>65</v>
      </c>
      <c r="O6" s="169" t="s">
        <v>66</v>
      </c>
      <c r="P6" s="169" t="s">
        <v>67</v>
      </c>
      <c r="Q6" s="169" t="s">
        <v>68</v>
      </c>
      <c r="R6" s="169" t="s">
        <v>69</v>
      </c>
      <c r="S6" s="169" t="s">
        <v>70</v>
      </c>
      <c r="T6" s="169" t="s">
        <v>71</v>
      </c>
      <c r="U6" s="169" t="s">
        <v>72</v>
      </c>
      <c r="V6" s="169" t="s">
        <v>73</v>
      </c>
      <c r="W6" s="169" t="s">
        <v>74</v>
      </c>
      <c r="X6" s="169" t="s">
        <v>75</v>
      </c>
      <c r="Y6" s="169" t="s">
        <v>76</v>
      </c>
      <c r="Z6" s="169" t="s">
        <v>77</v>
      </c>
      <c r="AA6" s="169" t="s">
        <v>78</v>
      </c>
      <c r="AB6" s="2" t="s">
        <v>79</v>
      </c>
    </row>
    <row r="7" spans="1:28" ht="20.100000000000001" customHeight="1" x14ac:dyDescent="0.15">
      <c r="A7" s="237" t="s">
        <v>265</v>
      </c>
      <c r="B7" s="3" t="s">
        <v>80</v>
      </c>
      <c r="C7" s="3"/>
      <c r="D7" s="36">
        <f>'整備の現状、人口見通し'!E11*汚水量原単位!$C4/1000</f>
        <v>4060</v>
      </c>
      <c r="E7" s="36">
        <f>'整備の現状、人口見通し'!F11*汚水量原単位!$C4/1000</f>
        <v>4046.37</v>
      </c>
      <c r="F7" s="36">
        <f>'整備の現状、人口見通し'!G11*汚水量原単位!$C4/1000</f>
        <v>4030.13</v>
      </c>
      <c r="G7" s="36">
        <f>'整備の現状、人口見通し'!H11*汚水量原単位!$C4/1000</f>
        <v>4011.28</v>
      </c>
      <c r="H7" s="36">
        <f>'整備の現状、人口見通し'!I11*汚水量原単位!$C4/1000</f>
        <v>3989.53</v>
      </c>
      <c r="I7" s="36">
        <f>'整備の現状、人口見通し'!J11*汚水量原単位!$C4/1000</f>
        <v>3965.17</v>
      </c>
      <c r="J7" s="36">
        <f>'整備の現状、人口見通し'!K11*汚水量原単位!$C4/1000</f>
        <v>3938.2</v>
      </c>
      <c r="K7" s="36">
        <f>'整備の現状、人口見通し'!L11*汚水量原単位!$C4/1000</f>
        <v>3908.33</v>
      </c>
      <c r="L7" s="36">
        <f>'整備の現状、人口見通し'!M11*汚水量原単位!$C4/1000</f>
        <v>3875.85</v>
      </c>
      <c r="M7" s="36">
        <f>'整備の現状、人口見通し'!N11*汚水量原単位!$C4/1000</f>
        <v>3840.76</v>
      </c>
      <c r="N7" s="36">
        <f>'整備の現状、人口見通し'!O11*汚水量原単位!$C4/1000</f>
        <v>3802.77</v>
      </c>
      <c r="O7" s="36">
        <f>'整備の現状、人口見通し'!P11*汚水量原単位!$C4/1000</f>
        <v>3762.17</v>
      </c>
      <c r="P7" s="36">
        <f>'整備の現状、人口見通し'!Q11*汚水量原単位!$C4/1000</f>
        <v>3718.96</v>
      </c>
      <c r="Q7" s="36">
        <f>'整備の現状、人口見通し'!R11*汚水量原単位!$C4/1000</f>
        <v>3672.85</v>
      </c>
      <c r="R7" s="36">
        <f>'整備の現状、人口見通し'!S11*汚水量原単位!$C4/1000</f>
        <v>3624.13</v>
      </c>
      <c r="S7" s="36">
        <f>'整備の現状、人口見通し'!T11*汚水量原単位!$C4/1000</f>
        <v>3572.8</v>
      </c>
      <c r="T7" s="36">
        <f>'整備の現状、人口見通し'!U11*汚水量原単位!$C4/1000</f>
        <v>3518.57</v>
      </c>
      <c r="U7" s="36">
        <f>'整備の現状、人口見通し'!V11*汚水量原単位!$C4/1000</f>
        <v>3461.73</v>
      </c>
      <c r="V7" s="36">
        <f>'整備の現状、人口見通し'!W11*汚水量原単位!$C4/1000</f>
        <v>3402.28</v>
      </c>
      <c r="W7" s="36">
        <f>'整備の現状、人口見通し'!X11*汚水量原単位!$C4/1000</f>
        <v>3339.93</v>
      </c>
      <c r="X7" s="36">
        <f>'整備の現状、人口見通し'!Y11*汚水量原単位!$C4/1000</f>
        <v>3274.97</v>
      </c>
      <c r="Y7" s="36">
        <f>'整備の現状、人口見通し'!Z11*汚水量原単位!$C4/1000</f>
        <v>3207.4</v>
      </c>
      <c r="Z7" s="36">
        <f>'整備の現状、人口見通し'!AA11*汚水量原単位!$C4/1000</f>
        <v>3136.93</v>
      </c>
      <c r="AA7" s="36">
        <f>'整備の現状、人口見通し'!AB11*汚水量原単位!$C4/1000</f>
        <v>3063.85</v>
      </c>
      <c r="AB7" s="36">
        <f>'整備の現状、人口見通し'!AC11*汚水量原単位!$C4/1000</f>
        <v>2988.16</v>
      </c>
    </row>
    <row r="8" spans="1:28" ht="20.100000000000001" customHeight="1" x14ac:dyDescent="0.15">
      <c r="A8" s="220"/>
      <c r="B8" s="4" t="s">
        <v>81</v>
      </c>
      <c r="C8" s="4"/>
      <c r="D8" s="25">
        <f>'整備の現状、人口見通し'!E12*汚水量原単位!$C5/1000</f>
        <v>2030</v>
      </c>
      <c r="E8" s="25">
        <f>'整備の現状、人口見通し'!F12*汚水量原単位!$C5/1000</f>
        <v>2023.33</v>
      </c>
      <c r="F8" s="25">
        <f>'整備の現状、人口見通し'!G12*汚水量原単位!$C5/1000</f>
        <v>2015.21</v>
      </c>
      <c r="G8" s="25">
        <f>'整備の現状、人口見通し'!H12*汚水量原単位!$C5/1000</f>
        <v>2005.64</v>
      </c>
      <c r="H8" s="25">
        <f>'整備の現状、人口見通し'!I12*汚水量原単位!$C5/1000</f>
        <v>1994.91</v>
      </c>
      <c r="I8" s="25">
        <f>'整備の現状、人口見通し'!J12*汚水量原単位!$C5/1000</f>
        <v>1982.73</v>
      </c>
      <c r="J8" s="25">
        <f>'整備の現状、人口見通し'!K12*汚水量原単位!$C5/1000</f>
        <v>1969.1</v>
      </c>
      <c r="K8" s="25">
        <f>'整備の現状、人口見通し'!L12*汚水量原単位!$C5/1000</f>
        <v>1954.31</v>
      </c>
      <c r="L8" s="25">
        <f>'整備の現状、人口見通し'!M12*汚水量原単位!$C5/1000</f>
        <v>1938.07</v>
      </c>
      <c r="M8" s="25">
        <f>'整備の現状、人口見通し'!N12*汚水量原単位!$C5/1000</f>
        <v>1920.38</v>
      </c>
      <c r="N8" s="25">
        <f>'整備の現状、人口見通し'!O12*汚水量原単位!$C5/1000</f>
        <v>1901.53</v>
      </c>
      <c r="O8" s="25">
        <f>'整備の現状、人口見通し'!P12*汚水量原単位!$C5/1000</f>
        <v>1881.23</v>
      </c>
      <c r="P8" s="25">
        <f>'整備の現状、人口見通し'!Q12*汚水量原単位!$C5/1000</f>
        <v>1859.48</v>
      </c>
      <c r="Q8" s="25">
        <f>'整備の現状、人口見通し'!R12*汚水量原単位!$C5/1000</f>
        <v>1836.57</v>
      </c>
      <c r="R8" s="25">
        <f>'整備の現状、人口見通し'!S12*汚水量原単位!$C5/1000</f>
        <v>1812.21</v>
      </c>
      <c r="S8" s="25">
        <f>'整備の現状、人口見通し'!T12*汚水量原単位!$C5/1000</f>
        <v>1786.4</v>
      </c>
      <c r="T8" s="25">
        <f>'整備の現状、人口見通し'!U12*汚水量原単位!$C5/1000</f>
        <v>1759.43</v>
      </c>
      <c r="U8" s="25">
        <f>'整備の現状、人口見通し'!V12*汚水量原単位!$C5/1000</f>
        <v>1731.01</v>
      </c>
      <c r="V8" s="25">
        <f>'整備の現状、人口見通し'!W12*汚水量原単位!$C5/1000</f>
        <v>1701.14</v>
      </c>
      <c r="W8" s="25">
        <f>'整備の現状、人口見通し'!X12*汚水量原単位!$C5/1000</f>
        <v>1670.11</v>
      </c>
      <c r="X8" s="25">
        <f>'整備の現状、人口見通し'!Y12*汚水量原単位!$C5/1000</f>
        <v>1637.63</v>
      </c>
      <c r="Y8" s="25">
        <f>'整備の現状、人口見通し'!Z12*汚水量原単位!$C5/1000</f>
        <v>1603.7</v>
      </c>
      <c r="Z8" s="25">
        <f>'整備の現状、人口見通し'!AA12*汚水量原単位!$C5/1000</f>
        <v>1568.61</v>
      </c>
      <c r="AA8" s="25">
        <f>'整備の現状、人口見通し'!AB12*汚水量原単位!$C5/1000</f>
        <v>1532.07</v>
      </c>
      <c r="AB8" s="25">
        <f>'整備の現状、人口見通し'!AC12*汚水量原単位!$C5/1000</f>
        <v>1494.08</v>
      </c>
    </row>
    <row r="9" spans="1:28" ht="20.100000000000001" customHeight="1" x14ac:dyDescent="0.15"/>
  </sheetData>
  <mergeCells count="2">
    <mergeCell ref="A6:C6"/>
    <mergeCell ref="A7:A8"/>
  </mergeCells>
  <phoneticPr fontId="30"/>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基礎情報</vt:lpstr>
      <vt:lpstr>行政人口の見通し</vt:lpstr>
      <vt:lpstr>整備の現状、人口見通し</vt:lpstr>
      <vt:lpstr>処理能力と稼働率</vt:lpstr>
      <vt:lpstr>維持管理費等</vt:lpstr>
      <vt:lpstr>更新時期</vt:lpstr>
      <vt:lpstr>汚水量原単位</vt:lpstr>
      <vt:lpstr>下水の流入水質</vt:lpstr>
      <vt:lpstr>流入水量</vt:lpstr>
      <vt:lpstr>将来フレーム</vt:lpstr>
      <vt:lpstr>経済性比較、エネルギー、GHG</vt:lpstr>
      <vt:lpstr>簡易的な汚泥処理施設能力確認</vt:lpstr>
      <vt:lpstr>返流水負荷の計算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国土技術政策総合研究所</dc:creator>
  <cp:lastPrinted>2019-05-17T01:22:42Z</cp:lastPrinted>
  <dcterms:created xsi:type="dcterms:W3CDTF">2016-11-07T08:36:00Z</dcterms:created>
  <dcterms:modified xsi:type="dcterms:W3CDTF">2019-06-17T02:29:37Z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