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KB-a\下水道研究部共有\03処理研\★B-DASH\ガイドライン\水ing\"/>
    </mc:Choice>
  </mc:AlternateContent>
  <bookViews>
    <workbookView xWindow="0" yWindow="0" windowWidth="20496" windowHeight="8664"/>
  </bookViews>
  <sheets>
    <sheet name="回収年" sheetId="1" r:id="rId1"/>
    <sheet name="詳細検討" sheetId="2" r:id="rId2"/>
    <sheet name="概略検討" sheetId="3" r:id="rId3"/>
  </sheets>
  <definedNames>
    <definedName name="_xlnm.Print_Area" localSheetId="0">回収年!$A$1:$G$77</definedName>
    <definedName name="_xlnm.Print_Area" localSheetId="1">詳細検討!$A$1:$I$73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3" l="1"/>
  <c r="C22" i="3"/>
  <c r="C18" i="3"/>
  <c r="C17" i="3"/>
  <c r="C16" i="3"/>
  <c r="D23" i="1" l="1"/>
  <c r="D4" i="3" l="1"/>
  <c r="C30" i="3"/>
  <c r="C29" i="3"/>
  <c r="C28" i="3"/>
  <c r="C23" i="3"/>
  <c r="E18" i="2"/>
  <c r="G18" i="2" s="1"/>
  <c r="G19" i="2" s="1"/>
  <c r="E67" i="2"/>
  <c r="E66" i="2"/>
  <c r="E65" i="2"/>
  <c r="E7" i="3" l="1"/>
  <c r="F10" i="1" s="1"/>
  <c r="E5" i="3"/>
  <c r="E6" i="3"/>
  <c r="F9" i="1" s="1"/>
  <c r="G68" i="2"/>
  <c r="F74" i="1" s="1"/>
  <c r="D66" i="1"/>
  <c r="G47" i="2"/>
  <c r="G46" i="2"/>
  <c r="G45" i="2"/>
  <c r="G44" i="2"/>
  <c r="D59" i="1"/>
  <c r="D60" i="1" s="1"/>
  <c r="G36" i="2"/>
  <c r="F49" i="1" s="1"/>
  <c r="F32" i="2"/>
  <c r="F35" i="2" s="1"/>
  <c r="G35" i="2" s="1"/>
  <c r="F31" i="2"/>
  <c r="F34" i="2" s="1"/>
  <c r="G34" i="2" s="1"/>
  <c r="F30" i="2"/>
  <c r="G30" i="2" s="1"/>
  <c r="E23" i="2"/>
  <c r="G23" i="2" s="1"/>
  <c r="E24" i="2"/>
  <c r="G24" i="2" s="1"/>
  <c r="E37" i="2"/>
  <c r="F13" i="2"/>
  <c r="G13" i="2" s="1"/>
  <c r="F12" i="2"/>
  <c r="G12" i="2" s="1"/>
  <c r="F11" i="2"/>
  <c r="G11" i="2" s="1"/>
  <c r="F39" i="1" s="1"/>
  <c r="F7" i="2"/>
  <c r="G7" i="2" s="1"/>
  <c r="F8" i="2"/>
  <c r="G8" i="2" s="1"/>
  <c r="F9" i="2"/>
  <c r="G9" i="2" s="1"/>
  <c r="F10" i="2"/>
  <c r="G10" i="2" s="1"/>
  <c r="F6" i="2"/>
  <c r="F37" i="2" s="1"/>
  <c r="G61" i="2" l="1"/>
  <c r="F69" i="1" s="1"/>
  <c r="E8" i="3"/>
  <c r="F12" i="1" s="1"/>
  <c r="F8" i="1"/>
  <c r="G48" i="2"/>
  <c r="G32" i="2"/>
  <c r="F39" i="2"/>
  <c r="G39" i="2" s="1"/>
  <c r="G31" i="2"/>
  <c r="F48" i="1"/>
  <c r="F38" i="2"/>
  <c r="G38" i="2" s="1"/>
  <c r="F40" i="1"/>
  <c r="G6" i="2"/>
  <c r="G14" i="2" s="1"/>
  <c r="D47" i="1"/>
  <c r="G25" i="2"/>
  <c r="G37" i="2"/>
  <c r="F47" i="1" s="1"/>
  <c r="F57" i="1" l="1"/>
  <c r="F62" i="1" s="1"/>
  <c r="F75" i="1" s="1"/>
  <c r="F51" i="1"/>
  <c r="F46" i="1"/>
  <c r="F35" i="1"/>
  <c r="F42" i="1" s="1"/>
  <c r="G40" i="2"/>
  <c r="F71" i="2" s="1"/>
  <c r="F52" i="1" l="1"/>
  <c r="F77" i="1" s="1"/>
</calcChain>
</file>

<file path=xl/sharedStrings.xml><?xml version="1.0" encoding="utf-8"?>
<sst xmlns="http://schemas.openxmlformats.org/spreadsheetml/2006/main" count="333" uniqueCount="207">
  <si>
    <t>建設費</t>
    <rPh sb="0" eb="3">
      <t>ケンセツヒ</t>
    </rPh>
    <phoneticPr fontId="1"/>
  </si>
  <si>
    <t>親機</t>
    <rPh sb="0" eb="2">
      <t>オヤキ</t>
    </rPh>
    <phoneticPr fontId="1"/>
  </si>
  <si>
    <t>タブレット端末</t>
    <rPh sb="5" eb="7">
      <t>タンマツ</t>
    </rPh>
    <phoneticPr fontId="1"/>
  </si>
  <si>
    <t>単価</t>
    <rPh sb="0" eb="2">
      <t>タンカ</t>
    </rPh>
    <phoneticPr fontId="1"/>
  </si>
  <si>
    <t>維持管理費</t>
    <rPh sb="0" eb="2">
      <t>イジ</t>
    </rPh>
    <rPh sb="2" eb="5">
      <t>カンリヒ</t>
    </rPh>
    <phoneticPr fontId="1"/>
  </si>
  <si>
    <t>合計</t>
    <rPh sb="0" eb="2">
      <t>ゴウケイ</t>
    </rPh>
    <phoneticPr fontId="1"/>
  </si>
  <si>
    <t>タブレット点検</t>
    <rPh sb="5" eb="7">
      <t>テンケン</t>
    </rPh>
    <phoneticPr fontId="1"/>
  </si>
  <si>
    <t>導入効果</t>
    <rPh sb="0" eb="2">
      <t>ドウニュウ</t>
    </rPh>
    <rPh sb="2" eb="4">
      <t>コウカ</t>
    </rPh>
    <phoneticPr fontId="1"/>
  </si>
  <si>
    <t>ポイント/日</t>
    <rPh sb="5" eb="6">
      <t>ヒ</t>
    </rPh>
    <phoneticPr fontId="1"/>
  </si>
  <si>
    <t>精密診断実施割合</t>
    <rPh sb="0" eb="2">
      <t>セイミツ</t>
    </rPh>
    <rPh sb="2" eb="4">
      <t>シンダン</t>
    </rPh>
    <rPh sb="4" eb="6">
      <t>ジッシ</t>
    </rPh>
    <rPh sb="6" eb="8">
      <t>ワリアイ</t>
    </rPh>
    <phoneticPr fontId="1"/>
  </si>
  <si>
    <t>％</t>
    <phoneticPr fontId="1"/>
  </si>
  <si>
    <t>振動測定ポイント数</t>
    <rPh sb="0" eb="2">
      <t>シンドウ</t>
    </rPh>
    <rPh sb="2" eb="4">
      <t>ソクテイ</t>
    </rPh>
    <rPh sb="8" eb="9">
      <t>スウ</t>
    </rPh>
    <phoneticPr fontId="1"/>
  </si>
  <si>
    <t>精密診断対象機器数</t>
    <rPh sb="0" eb="2">
      <t>セイミツ</t>
    </rPh>
    <rPh sb="2" eb="4">
      <t>シンダン</t>
    </rPh>
    <rPh sb="4" eb="6">
      <t>タイショウ</t>
    </rPh>
    <rPh sb="6" eb="8">
      <t>キキ</t>
    </rPh>
    <rPh sb="8" eb="9">
      <t>スウ</t>
    </rPh>
    <phoneticPr fontId="1"/>
  </si>
  <si>
    <t>精密診断費用の削減効果</t>
    <rPh sb="0" eb="2">
      <t>セイミツ</t>
    </rPh>
    <rPh sb="2" eb="4">
      <t>シンダン</t>
    </rPh>
    <rPh sb="4" eb="6">
      <t>ヒヨウ</t>
    </rPh>
    <rPh sb="7" eb="9">
      <t>サクゲン</t>
    </rPh>
    <rPh sb="9" eb="11">
      <t>コウカ</t>
    </rPh>
    <phoneticPr fontId="1"/>
  </si>
  <si>
    <t>②故障対応費の低減効果</t>
    <rPh sb="1" eb="3">
      <t>コショウ</t>
    </rPh>
    <rPh sb="3" eb="5">
      <t>タイオウ</t>
    </rPh>
    <rPh sb="5" eb="6">
      <t>ヒ</t>
    </rPh>
    <rPh sb="7" eb="9">
      <t>テイゲン</t>
    </rPh>
    <rPh sb="9" eb="11">
      <t>コウカ</t>
    </rPh>
    <phoneticPr fontId="1"/>
  </si>
  <si>
    <t>機器軸受けの故障発生割合</t>
    <rPh sb="0" eb="2">
      <t>キキ</t>
    </rPh>
    <rPh sb="2" eb="4">
      <t>ジクウ</t>
    </rPh>
    <rPh sb="6" eb="8">
      <t>コショウ</t>
    </rPh>
    <rPh sb="8" eb="10">
      <t>ハッセイ</t>
    </rPh>
    <rPh sb="10" eb="12">
      <t>ワリアイ</t>
    </rPh>
    <phoneticPr fontId="1"/>
  </si>
  <si>
    <t>％</t>
    <phoneticPr fontId="1"/>
  </si>
  <si>
    <t>千円/台･年</t>
    <rPh sb="0" eb="2">
      <t>センエン</t>
    </rPh>
    <rPh sb="3" eb="4">
      <t>ダイ</t>
    </rPh>
    <rPh sb="5" eb="6">
      <t>ネン</t>
    </rPh>
    <phoneticPr fontId="1"/>
  </si>
  <si>
    <t>③点検時間の低減効果</t>
    <rPh sb="1" eb="3">
      <t>テンケン</t>
    </rPh>
    <rPh sb="3" eb="5">
      <t>ジカン</t>
    </rPh>
    <rPh sb="6" eb="8">
      <t>テイゲン</t>
    </rPh>
    <rPh sb="8" eb="10">
      <t>コウカ</t>
    </rPh>
    <phoneticPr fontId="1"/>
  </si>
  <si>
    <t>時間/回</t>
    <rPh sb="0" eb="2">
      <t>ジカン</t>
    </rPh>
    <rPh sb="3" eb="4">
      <t>カイ</t>
    </rPh>
    <phoneticPr fontId="1"/>
  </si>
  <si>
    <t>人件費</t>
    <rPh sb="0" eb="3">
      <t>ジンケンヒ</t>
    </rPh>
    <phoneticPr fontId="1"/>
  </si>
  <si>
    <t>円/日</t>
    <rPh sb="0" eb="1">
      <t>エン</t>
    </rPh>
    <rPh sb="2" eb="3">
      <t>ニチ</t>
    </rPh>
    <phoneticPr fontId="1"/>
  </si>
  <si>
    <t>点検時間の低減効果</t>
    <rPh sb="0" eb="2">
      <t>テンケン</t>
    </rPh>
    <rPh sb="2" eb="4">
      <t>ジカン</t>
    </rPh>
    <rPh sb="5" eb="7">
      <t>テイゲン</t>
    </rPh>
    <rPh sb="7" eb="9">
      <t>コウカ</t>
    </rPh>
    <phoneticPr fontId="1"/>
  </si>
  <si>
    <t>円/年</t>
    <rPh sb="0" eb="1">
      <t>エン</t>
    </rPh>
    <rPh sb="2" eb="3">
      <t>ネン</t>
    </rPh>
    <phoneticPr fontId="1"/>
  </si>
  <si>
    <t>経費回収年</t>
    <rPh sb="0" eb="2">
      <t>ケイヒ</t>
    </rPh>
    <rPh sb="2" eb="4">
      <t>カイシュウ</t>
    </rPh>
    <rPh sb="4" eb="5">
      <t>ネン</t>
    </rPh>
    <phoneticPr fontId="1"/>
  </si>
  <si>
    <t>維持管理費</t>
    <rPh sb="0" eb="2">
      <t>イジ</t>
    </rPh>
    <rPh sb="2" eb="4">
      <t>カンリ</t>
    </rPh>
    <rPh sb="4" eb="5">
      <t>ヒ</t>
    </rPh>
    <phoneticPr fontId="1"/>
  </si>
  <si>
    <t>導入効果の概略検討</t>
    <rPh sb="0" eb="2">
      <t>ドウニュウ</t>
    </rPh>
    <rPh sb="2" eb="4">
      <t>コウカ</t>
    </rPh>
    <rPh sb="5" eb="7">
      <t>ガイリャク</t>
    </rPh>
    <rPh sb="7" eb="9">
      <t>ケントウ</t>
    </rPh>
    <phoneticPr fontId="1"/>
  </si>
  <si>
    <t>導入効果の詳細検討</t>
    <rPh sb="0" eb="2">
      <t>ドウニュウ</t>
    </rPh>
    <rPh sb="2" eb="4">
      <t>コウカ</t>
    </rPh>
    <rPh sb="5" eb="7">
      <t>ショウサイ</t>
    </rPh>
    <rPh sb="7" eb="9">
      <t>ケントウ</t>
    </rPh>
    <phoneticPr fontId="1"/>
  </si>
  <si>
    <t>千円</t>
    <rPh sb="0" eb="2">
      <t>センエン</t>
    </rPh>
    <phoneticPr fontId="1"/>
  </si>
  <si>
    <t>費用回収年</t>
    <rPh sb="0" eb="2">
      <t>ヒヨウ</t>
    </rPh>
    <rPh sb="2" eb="4">
      <t>カイシュウ</t>
    </rPh>
    <rPh sb="4" eb="5">
      <t>ネン</t>
    </rPh>
    <phoneticPr fontId="1"/>
  </si>
  <si>
    <t>y4=y1/(y3-y2)</t>
    <phoneticPr fontId="1"/>
  </si>
  <si>
    <t>年</t>
    <rPh sb="0" eb="1">
      <t>ネン</t>
    </rPh>
    <phoneticPr fontId="1"/>
  </si>
  <si>
    <t>ｘ：処理規模（m3/日）</t>
    <rPh sb="2" eb="4">
      <t>ショリ</t>
    </rPh>
    <rPh sb="4" eb="6">
      <t>キボ</t>
    </rPh>
    <rPh sb="10" eb="11">
      <t>ヒ</t>
    </rPh>
    <phoneticPr fontId="1"/>
  </si>
  <si>
    <t>単位</t>
    <rPh sb="0" eb="2">
      <t>タンイ</t>
    </rPh>
    <phoneticPr fontId="1"/>
  </si>
  <si>
    <t>費用関数（計算式）</t>
    <rPh sb="0" eb="2">
      <t>ヒヨウ</t>
    </rPh>
    <rPh sb="2" eb="4">
      <t>カンスウ</t>
    </rPh>
    <rPh sb="5" eb="8">
      <t>ケイサンシキ</t>
    </rPh>
    <phoneticPr fontId="1"/>
  </si>
  <si>
    <t>費用</t>
    <rPh sb="0" eb="2">
      <t>ヒヨウ</t>
    </rPh>
    <phoneticPr fontId="1"/>
  </si>
  <si>
    <t>項目</t>
    <rPh sb="0" eb="2">
      <t>コウモク</t>
    </rPh>
    <phoneticPr fontId="1"/>
  </si>
  <si>
    <t>備考</t>
    <rPh sb="0" eb="2">
      <t>ビコウ</t>
    </rPh>
    <phoneticPr fontId="1"/>
  </si>
  <si>
    <t>タブレット活用による
時間低減割合</t>
    <rPh sb="5" eb="7">
      <t>カツヨウ</t>
    </rPh>
    <rPh sb="11" eb="13">
      <t>ジカン</t>
    </rPh>
    <rPh sb="13" eb="15">
      <t>テイゲン</t>
    </rPh>
    <rPh sb="15" eb="17">
      <t>ワリアイ</t>
    </rPh>
    <phoneticPr fontId="1"/>
  </si>
  <si>
    <t>台</t>
    <rPh sb="0" eb="1">
      <t>ダイ</t>
    </rPh>
    <phoneticPr fontId="1"/>
  </si>
  <si>
    <t>ケーブル長</t>
    <rPh sb="4" eb="5">
      <t>チョウ</t>
    </rPh>
    <phoneticPr fontId="1"/>
  </si>
  <si>
    <t>センサーモニタリング</t>
    <phoneticPr fontId="1"/>
  </si>
  <si>
    <t>（諸元）</t>
    <rPh sb="1" eb="3">
      <t>ショゲン</t>
    </rPh>
    <phoneticPr fontId="1"/>
  </si>
  <si>
    <t>数量</t>
    <rPh sb="0" eb="2">
      <t>スウリョウ</t>
    </rPh>
    <phoneticPr fontId="1"/>
  </si>
  <si>
    <t>ｍ</t>
    <phoneticPr fontId="1"/>
  </si>
  <si>
    <t>中継器A</t>
    <rPh sb="0" eb="3">
      <t>チュウケイキ</t>
    </rPh>
    <phoneticPr fontId="1"/>
  </si>
  <si>
    <t>中継器B</t>
    <rPh sb="0" eb="3">
      <t>チュウケイキ</t>
    </rPh>
    <phoneticPr fontId="1"/>
  </si>
  <si>
    <t>環境構築費</t>
    <rPh sb="0" eb="2">
      <t>カンキョウ</t>
    </rPh>
    <rPh sb="2" eb="5">
      <t>コウチクヒ</t>
    </rPh>
    <phoneticPr fontId="1"/>
  </si>
  <si>
    <t>見積もりによる試算</t>
    <rPh sb="0" eb="2">
      <t>ミツ</t>
    </rPh>
    <rPh sb="7" eb="9">
      <t>シサン</t>
    </rPh>
    <phoneticPr fontId="1"/>
  </si>
  <si>
    <t>センサーモニタリング</t>
    <phoneticPr fontId="1"/>
  </si>
  <si>
    <t>消耗品（電池）</t>
    <rPh sb="0" eb="3">
      <t>ショウモウヒン</t>
    </rPh>
    <rPh sb="4" eb="6">
      <t>デンチ</t>
    </rPh>
    <phoneticPr fontId="1"/>
  </si>
  <si>
    <t>消耗品（電池）交換作業労務費</t>
    <rPh sb="0" eb="3">
      <t>ショウモウヒン</t>
    </rPh>
    <rPh sb="4" eb="6">
      <t>デンチ</t>
    </rPh>
    <rPh sb="7" eb="9">
      <t>コウカン</t>
    </rPh>
    <rPh sb="9" eb="11">
      <t>サギョウ</t>
    </rPh>
    <rPh sb="11" eb="14">
      <t>ロウムヒ</t>
    </rPh>
    <phoneticPr fontId="1"/>
  </si>
  <si>
    <t>連続センサー通信費、クラウド使用料</t>
    <rPh sb="0" eb="2">
      <t>レンゾク</t>
    </rPh>
    <rPh sb="6" eb="9">
      <t>ツウシンヒ</t>
    </rPh>
    <rPh sb="14" eb="17">
      <t>シヨウリョウ</t>
    </rPh>
    <phoneticPr fontId="1"/>
  </si>
  <si>
    <t>タブレット端末通信費、クラウド使用料</t>
    <rPh sb="5" eb="7">
      <t>タンマツ</t>
    </rPh>
    <rPh sb="7" eb="9">
      <t>ツウシン</t>
    </rPh>
    <rPh sb="9" eb="10">
      <t>ヒ</t>
    </rPh>
    <rPh sb="15" eb="18">
      <t>シヨウリョウ</t>
    </rPh>
    <phoneticPr fontId="1"/>
  </si>
  <si>
    <t>※1台当たり1個、年４回交換とする。</t>
    <rPh sb="2" eb="3">
      <t>ダイ</t>
    </rPh>
    <rPh sb="3" eb="4">
      <t>ア</t>
    </rPh>
    <rPh sb="7" eb="8">
      <t>コ</t>
    </rPh>
    <rPh sb="9" eb="10">
      <t>ネン</t>
    </rPh>
    <rPh sb="11" eb="12">
      <t>カイ</t>
    </rPh>
    <rPh sb="12" eb="14">
      <t>コウカン</t>
    </rPh>
    <phoneticPr fontId="1"/>
  </si>
  <si>
    <t>費用（円）</t>
    <rPh sb="0" eb="2">
      <t>ヒヨウ</t>
    </rPh>
    <rPh sb="3" eb="4">
      <t>エン</t>
    </rPh>
    <phoneticPr fontId="1"/>
  </si>
  <si>
    <t>ポイント</t>
    <phoneticPr fontId="1"/>
  </si>
  <si>
    <t>精密診断（振動測定ポイント数）</t>
    <rPh sb="0" eb="2">
      <t>セイミツ</t>
    </rPh>
    <rPh sb="2" eb="4">
      <t>シンダン</t>
    </rPh>
    <rPh sb="5" eb="7">
      <t>シンドウ</t>
    </rPh>
    <rPh sb="7" eb="9">
      <t>ソクテイ</t>
    </rPh>
    <rPh sb="13" eb="14">
      <t>スウ</t>
    </rPh>
    <phoneticPr fontId="1"/>
  </si>
  <si>
    <t>精密診断（費用）</t>
    <rPh sb="0" eb="2">
      <t>セイミツ</t>
    </rPh>
    <rPh sb="2" eb="4">
      <t>シンダン</t>
    </rPh>
    <rPh sb="5" eb="7">
      <t>ヒヨウ</t>
    </rPh>
    <phoneticPr fontId="1"/>
  </si>
  <si>
    <t>円</t>
    <rPh sb="0" eb="1">
      <t>エン</t>
    </rPh>
    <phoneticPr fontId="1"/>
  </si>
  <si>
    <t>対象機器の故障発生件数</t>
    <rPh sb="0" eb="2">
      <t>タイショウ</t>
    </rPh>
    <rPh sb="2" eb="4">
      <t>キキ</t>
    </rPh>
    <rPh sb="5" eb="7">
      <t>コショウ</t>
    </rPh>
    <rPh sb="7" eb="9">
      <t>ハッセイ</t>
    </rPh>
    <rPh sb="9" eb="11">
      <t>ケンスウ</t>
    </rPh>
    <phoneticPr fontId="1"/>
  </si>
  <si>
    <t>　内、軸受けの故障発生件数</t>
    <rPh sb="1" eb="2">
      <t>ウチ</t>
    </rPh>
    <rPh sb="3" eb="5">
      <t>ジクウ</t>
    </rPh>
    <rPh sb="7" eb="9">
      <t>コショウ</t>
    </rPh>
    <rPh sb="9" eb="11">
      <t>ハッセイ</t>
    </rPh>
    <rPh sb="11" eb="13">
      <t>ケンスウ</t>
    </rPh>
    <phoneticPr fontId="1"/>
  </si>
  <si>
    <t>件</t>
    <rPh sb="0" eb="1">
      <t>ケン</t>
    </rPh>
    <phoneticPr fontId="1"/>
  </si>
  <si>
    <t>①、過年度実績値</t>
    <rPh sb="2" eb="5">
      <t>カネンド</t>
    </rPh>
    <rPh sb="5" eb="8">
      <t>ジッセキチ</t>
    </rPh>
    <phoneticPr fontId="1"/>
  </si>
  <si>
    <t>故障対応費の削減効果</t>
    <rPh sb="0" eb="2">
      <t>コショウ</t>
    </rPh>
    <rPh sb="2" eb="4">
      <t>タイオウ</t>
    </rPh>
    <rPh sb="4" eb="5">
      <t>ヒ</t>
    </rPh>
    <rPh sb="6" eb="8">
      <t>サクゲン</t>
    </rPh>
    <rPh sb="8" eb="10">
      <t>コウカ</t>
    </rPh>
    <phoneticPr fontId="1"/>
  </si>
  <si>
    <t>④過年度実績より１件当たり故障対応費（平均）</t>
    <rPh sb="1" eb="4">
      <t>カネンド</t>
    </rPh>
    <rPh sb="4" eb="6">
      <t>ジッセキ</t>
    </rPh>
    <rPh sb="9" eb="10">
      <t>ケン</t>
    </rPh>
    <rPh sb="10" eb="11">
      <t>ア</t>
    </rPh>
    <rPh sb="13" eb="15">
      <t>コショウ</t>
    </rPh>
    <rPh sb="15" eb="17">
      <t>タイオウ</t>
    </rPh>
    <rPh sb="17" eb="18">
      <t>ヒ</t>
    </rPh>
    <rPh sb="19" eb="21">
      <t>ヘイキン</t>
    </rPh>
    <phoneticPr fontId="1"/>
  </si>
  <si>
    <t>④×対象機器台数×③/100</t>
    <rPh sb="2" eb="4">
      <t>タイショウ</t>
    </rPh>
    <rPh sb="4" eb="6">
      <t>キキ</t>
    </rPh>
    <rPh sb="6" eb="8">
      <t>ダイスウ</t>
    </rPh>
    <phoneticPr fontId="1"/>
  </si>
  <si>
    <t>円/人工</t>
    <rPh sb="0" eb="1">
      <t>エン</t>
    </rPh>
    <rPh sb="2" eb="4">
      <t>ニンク</t>
    </rPh>
    <phoneticPr fontId="1"/>
  </si>
  <si>
    <t>②、※10％を基準とする。</t>
    <rPh sb="7" eb="9">
      <t>キジュン</t>
    </rPh>
    <phoneticPr fontId="1"/>
  </si>
  <si>
    <t>③電工単価</t>
    <rPh sb="1" eb="3">
      <t>デンコウ</t>
    </rPh>
    <rPh sb="3" eb="5">
      <t>タンカ</t>
    </rPh>
    <phoneticPr fontId="1"/>
  </si>
  <si>
    <t>年当たり精密診断実施回数</t>
    <rPh sb="0" eb="1">
      <t>ネン</t>
    </rPh>
    <rPh sb="1" eb="2">
      <t>ア</t>
    </rPh>
    <rPh sb="4" eb="6">
      <t>セイミツ</t>
    </rPh>
    <rPh sb="6" eb="8">
      <t>シンダン</t>
    </rPh>
    <rPh sb="8" eb="10">
      <t>ジッシ</t>
    </rPh>
    <rPh sb="10" eb="12">
      <t>カイスウ</t>
    </rPh>
    <phoneticPr fontId="1"/>
  </si>
  <si>
    <t>回/年</t>
    <rPh sb="0" eb="1">
      <t>カイ</t>
    </rPh>
    <rPh sb="2" eb="3">
      <t>ネン</t>
    </rPh>
    <phoneticPr fontId="1"/>
  </si>
  <si>
    <t>（試算）</t>
    <rPh sb="1" eb="3">
      <t>シサン</t>
    </rPh>
    <phoneticPr fontId="1"/>
  </si>
  <si>
    <t>人工/年</t>
    <rPh sb="0" eb="2">
      <t>ニンク</t>
    </rPh>
    <rPh sb="3" eb="4">
      <t>ネン</t>
    </rPh>
    <phoneticPr fontId="1"/>
  </si>
  <si>
    <t>※電工単価（円/人工）より試算
※電池交換頻度は年４回（人工）とする。</t>
    <rPh sb="1" eb="3">
      <t>デンコウ</t>
    </rPh>
    <rPh sb="3" eb="5">
      <t>タンカ</t>
    </rPh>
    <rPh sb="6" eb="7">
      <t>エン</t>
    </rPh>
    <rPh sb="8" eb="10">
      <t>ニンク</t>
    </rPh>
    <rPh sb="13" eb="15">
      <t>シサン</t>
    </rPh>
    <rPh sb="17" eb="19">
      <t>デンチ</t>
    </rPh>
    <rPh sb="19" eb="21">
      <t>コウカン</t>
    </rPh>
    <rPh sb="21" eb="23">
      <t>ヒンド</t>
    </rPh>
    <rPh sb="24" eb="25">
      <t>ネン</t>
    </rPh>
    <rPh sb="26" eb="27">
      <t>カイ</t>
    </rPh>
    <rPh sb="28" eb="30">
      <t>ニンク</t>
    </rPh>
    <phoneticPr fontId="1"/>
  </si>
  <si>
    <t>（b）</t>
    <phoneticPr fontId="1"/>
  </si>
  <si>
    <t>（a）</t>
    <phoneticPr fontId="1"/>
  </si>
  <si>
    <t>①、※測定12ポイント/日を基準とする。</t>
    <rPh sb="3" eb="5">
      <t>ソクテイ</t>
    </rPh>
    <rPh sb="12" eb="13">
      <t>ニチ</t>
    </rPh>
    <rPh sb="14" eb="16">
      <t>キジュン</t>
    </rPh>
    <phoneticPr fontId="1"/>
  </si>
  <si>
    <t>②、※日当たり費用</t>
    <rPh sb="3" eb="4">
      <t>ニチ</t>
    </rPh>
    <rPh sb="4" eb="5">
      <t>ア</t>
    </rPh>
    <rPh sb="7" eb="9">
      <t>ヒヨウ</t>
    </rPh>
    <phoneticPr fontId="1"/>
  </si>
  <si>
    <t>③、※実証結果より0.8％をデフォルト値とする。
それぞれの施設で設定することも可能</t>
    <rPh sb="3" eb="5">
      <t>ジッショウ</t>
    </rPh>
    <rPh sb="5" eb="7">
      <t>ケッカ</t>
    </rPh>
    <rPh sb="19" eb="20">
      <t>チ</t>
    </rPh>
    <rPh sb="30" eb="32">
      <t>シセツ</t>
    </rPh>
    <rPh sb="33" eb="35">
      <t>セッテイ</t>
    </rPh>
    <rPh sb="40" eb="42">
      <t>カノウ</t>
    </rPh>
    <phoneticPr fontId="1"/>
  </si>
  <si>
    <t>④、センサー連続監視対象機器数×③
小数点以下切り上げとする。</t>
    <rPh sb="6" eb="8">
      <t>レンゾク</t>
    </rPh>
    <rPh sb="8" eb="10">
      <t>カンシ</t>
    </rPh>
    <rPh sb="10" eb="12">
      <t>タイショウ</t>
    </rPh>
    <rPh sb="12" eb="14">
      <t>キキ</t>
    </rPh>
    <rPh sb="14" eb="15">
      <t>スウ</t>
    </rPh>
    <rPh sb="18" eb="21">
      <t>ショウスウテン</t>
    </rPh>
    <rPh sb="21" eb="23">
      <t>イカ</t>
    </rPh>
    <rPh sb="23" eb="24">
      <t>キ</t>
    </rPh>
    <rPh sb="25" eb="26">
      <t>ア</t>
    </rPh>
    <phoneticPr fontId="1"/>
  </si>
  <si>
    <t>⑤、※4ポイント×④</t>
    <phoneticPr fontId="1"/>
  </si>
  <si>
    <t>⑥</t>
    <phoneticPr fontId="1"/>
  </si>
  <si>
    <t>②×⑤/①×⑥
※ただし、本費用は日単位での費用とする。
基準値で試算の場合、12ポイント/以下は日当たりの精密診断費用②とする。13ポイントを超え、24ポイント以下の場合、2日当たりの精密診断費用となる。</t>
    <rPh sb="13" eb="14">
      <t>ホン</t>
    </rPh>
    <rPh sb="14" eb="16">
      <t>ヒヨウ</t>
    </rPh>
    <rPh sb="17" eb="18">
      <t>ニチ</t>
    </rPh>
    <rPh sb="18" eb="20">
      <t>タンイ</t>
    </rPh>
    <rPh sb="22" eb="24">
      <t>ヒヨウ</t>
    </rPh>
    <rPh sb="29" eb="32">
      <t>キジュンチ</t>
    </rPh>
    <rPh sb="33" eb="35">
      <t>シサン</t>
    </rPh>
    <rPh sb="36" eb="38">
      <t>バアイ</t>
    </rPh>
    <rPh sb="46" eb="48">
      <t>イカ</t>
    </rPh>
    <rPh sb="49" eb="50">
      <t>ニチ</t>
    </rPh>
    <rPh sb="50" eb="51">
      <t>ア</t>
    </rPh>
    <rPh sb="54" eb="56">
      <t>セイミツ</t>
    </rPh>
    <rPh sb="56" eb="58">
      <t>シンダン</t>
    </rPh>
    <rPh sb="58" eb="60">
      <t>ヒヨウ</t>
    </rPh>
    <rPh sb="72" eb="73">
      <t>コ</t>
    </rPh>
    <rPh sb="81" eb="83">
      <t>イカ</t>
    </rPh>
    <rPh sb="84" eb="86">
      <t>バアイ</t>
    </rPh>
    <rPh sb="88" eb="89">
      <t>ニチ</t>
    </rPh>
    <rPh sb="89" eb="90">
      <t>ア</t>
    </rPh>
    <rPh sb="93" eb="95">
      <t>セイミツ</t>
    </rPh>
    <rPh sb="95" eb="97">
      <t>シンダン</t>
    </rPh>
    <rPh sb="97" eb="99">
      <t>ヒヨウ</t>
    </rPh>
    <phoneticPr fontId="1"/>
  </si>
  <si>
    <t>（c）</t>
    <phoneticPr fontId="1"/>
  </si>
  <si>
    <t>（a）/（（c）－（b））</t>
    <phoneticPr fontId="1"/>
  </si>
  <si>
    <t>連続センサーA(電流)</t>
    <rPh sb="0" eb="2">
      <t>レンゾク</t>
    </rPh>
    <rPh sb="8" eb="10">
      <t>デンリュウ</t>
    </rPh>
    <phoneticPr fontId="1"/>
  </si>
  <si>
    <t>連続センサーB(振動)</t>
    <rPh sb="0" eb="2">
      <t>レンゾク</t>
    </rPh>
    <rPh sb="8" eb="10">
      <t>シンドウ</t>
    </rPh>
    <phoneticPr fontId="1"/>
  </si>
  <si>
    <t>タブレット端末</t>
    <rPh sb="5" eb="7">
      <t>タンマツ</t>
    </rPh>
    <phoneticPr fontId="1"/>
  </si>
  <si>
    <t>諸経費</t>
    <rPh sb="0" eb="3">
      <t>ショケイヒ</t>
    </rPh>
    <phoneticPr fontId="1"/>
  </si>
  <si>
    <t>環境構築費</t>
    <rPh sb="0" eb="2">
      <t>カンキョウ</t>
    </rPh>
    <rPh sb="2" eb="4">
      <t>コウチク</t>
    </rPh>
    <rPh sb="4" eb="5">
      <t>ヒ</t>
    </rPh>
    <phoneticPr fontId="1"/>
  </si>
  <si>
    <t>y4=y1/(y3-y2)</t>
    <phoneticPr fontId="1"/>
  </si>
  <si>
    <t>小計</t>
    <rPh sb="0" eb="2">
      <t>ショウケイ</t>
    </rPh>
    <phoneticPr fontId="1"/>
  </si>
  <si>
    <t>金額</t>
    <rPh sb="0" eb="2">
      <t>キンガク</t>
    </rPh>
    <phoneticPr fontId="1"/>
  </si>
  <si>
    <t>品目</t>
    <rPh sb="0" eb="2">
      <t>ヒンモク</t>
    </rPh>
    <phoneticPr fontId="1"/>
  </si>
  <si>
    <t>備考</t>
    <rPh sb="0" eb="2">
      <t>ビコウ</t>
    </rPh>
    <phoneticPr fontId="1"/>
  </si>
  <si>
    <t>1-1　機器費</t>
    <rPh sb="4" eb="6">
      <t>キキ</t>
    </rPh>
    <rPh sb="6" eb="7">
      <t>ヒ</t>
    </rPh>
    <phoneticPr fontId="1"/>
  </si>
  <si>
    <t>対象</t>
    <rPh sb="0" eb="2">
      <t>タイショウ</t>
    </rPh>
    <phoneticPr fontId="1"/>
  </si>
  <si>
    <t>タブレット点検</t>
    <rPh sb="5" eb="7">
      <t>テンケン</t>
    </rPh>
    <phoneticPr fontId="1"/>
  </si>
  <si>
    <t>タブレット端末保持具</t>
    <rPh sb="5" eb="7">
      <t>タンマツ</t>
    </rPh>
    <rPh sb="7" eb="9">
      <t>ホジ</t>
    </rPh>
    <rPh sb="9" eb="10">
      <t>グ</t>
    </rPh>
    <phoneticPr fontId="1"/>
  </si>
  <si>
    <t>1-2　LANケーブル設置費</t>
    <rPh sb="11" eb="13">
      <t>セッチ</t>
    </rPh>
    <rPh sb="13" eb="14">
      <t>ヒ</t>
    </rPh>
    <phoneticPr fontId="1"/>
  </si>
  <si>
    <t>センサー
モニタリング</t>
    <phoneticPr fontId="1"/>
  </si>
  <si>
    <t>1-3　環境構築費</t>
    <rPh sb="4" eb="6">
      <t>カンキョウ</t>
    </rPh>
    <rPh sb="6" eb="8">
      <t>コウチク</t>
    </rPh>
    <rPh sb="8" eb="9">
      <t>ヒ</t>
    </rPh>
    <phoneticPr fontId="1"/>
  </si>
  <si>
    <t>タブレット点検</t>
    <phoneticPr fontId="1"/>
  </si>
  <si>
    <t>1　建設費</t>
    <rPh sb="2" eb="5">
      <t>ケンセツヒ</t>
    </rPh>
    <phoneticPr fontId="1"/>
  </si>
  <si>
    <t>2　維持管理費</t>
    <rPh sb="2" eb="4">
      <t>イジ</t>
    </rPh>
    <rPh sb="4" eb="7">
      <t>カンリヒ</t>
    </rPh>
    <phoneticPr fontId="1"/>
  </si>
  <si>
    <t>親機　通信費</t>
    <rPh sb="0" eb="2">
      <t>オヤキ</t>
    </rPh>
    <rPh sb="3" eb="5">
      <t>ツウシン</t>
    </rPh>
    <rPh sb="5" eb="6">
      <t>ヒ</t>
    </rPh>
    <phoneticPr fontId="1"/>
  </si>
  <si>
    <t>連続センサーA(電流)　クラウド使用料</t>
    <rPh sb="0" eb="2">
      <t>レンゾク</t>
    </rPh>
    <rPh sb="8" eb="10">
      <t>デンリュウ</t>
    </rPh>
    <rPh sb="16" eb="19">
      <t>シヨウリョウ</t>
    </rPh>
    <phoneticPr fontId="1"/>
  </si>
  <si>
    <t>連続センサーB(振動)　クラウド使用料</t>
    <rPh sb="0" eb="2">
      <t>レンゾク</t>
    </rPh>
    <rPh sb="8" eb="10">
      <t>シンドウ</t>
    </rPh>
    <rPh sb="16" eb="19">
      <t>シヨウリョウ</t>
    </rPh>
    <phoneticPr fontId="1"/>
  </si>
  <si>
    <t>【通信費、クラウド使用料】</t>
    <rPh sb="1" eb="3">
      <t>ツウシン</t>
    </rPh>
    <rPh sb="3" eb="4">
      <t>ヒ</t>
    </rPh>
    <rPh sb="9" eb="12">
      <t>シヨウリョウ</t>
    </rPh>
    <phoneticPr fontId="1"/>
  </si>
  <si>
    <t>【電池交換】</t>
    <rPh sb="1" eb="3">
      <t>デンチ</t>
    </rPh>
    <rPh sb="3" eb="5">
      <t>コウカン</t>
    </rPh>
    <phoneticPr fontId="1"/>
  </si>
  <si>
    <t>データ分析費用</t>
    <rPh sb="3" eb="5">
      <t>ブンセキ</t>
    </rPh>
    <rPh sb="5" eb="7">
      <t>ヒヨウ</t>
    </rPh>
    <phoneticPr fontId="1"/>
  </si>
  <si>
    <t>通信費</t>
    <rPh sb="0" eb="2">
      <t>ツウシン</t>
    </rPh>
    <rPh sb="2" eb="3">
      <t>ヒ</t>
    </rPh>
    <phoneticPr fontId="1"/>
  </si>
  <si>
    <t>クライアント証明書</t>
    <rPh sb="6" eb="9">
      <t>ショウメイショ</t>
    </rPh>
    <phoneticPr fontId="1"/>
  </si>
  <si>
    <t>3　導入効果</t>
    <rPh sb="2" eb="4">
      <t>ドウニュウ</t>
    </rPh>
    <rPh sb="4" eb="6">
      <t>コウカ</t>
    </rPh>
    <phoneticPr fontId="1"/>
  </si>
  <si>
    <t>3-1 精密診断の回避</t>
    <rPh sb="4" eb="6">
      <t>セイミツ</t>
    </rPh>
    <rPh sb="6" eb="8">
      <t>シンダン</t>
    </rPh>
    <rPh sb="9" eb="11">
      <t>カイヒ</t>
    </rPh>
    <phoneticPr fontId="1"/>
  </si>
  <si>
    <t>見積書による試算</t>
    <rPh sb="0" eb="3">
      <t>ミツモリショ</t>
    </rPh>
    <rPh sb="6" eb="8">
      <t>シサン</t>
    </rPh>
    <phoneticPr fontId="1"/>
  </si>
  <si>
    <t>機器費</t>
    <rPh sb="0" eb="2">
      <t>キキ</t>
    </rPh>
    <rPh sb="2" eb="3">
      <t>ヒ</t>
    </rPh>
    <phoneticPr fontId="1"/>
  </si>
  <si>
    <t>―</t>
    <phoneticPr fontId="1"/>
  </si>
  <si>
    <t>LANケーブル設置費</t>
    <rPh sb="7" eb="9">
      <t>セッチ</t>
    </rPh>
    <rPh sb="9" eb="10">
      <t>ヒ</t>
    </rPh>
    <phoneticPr fontId="1"/>
  </si>
  <si>
    <t>諸経費</t>
    <rPh sb="0" eb="3">
      <t>ショケイヒ</t>
    </rPh>
    <phoneticPr fontId="1"/>
  </si>
  <si>
    <t>資材一式、LANケーブル敷設</t>
    <rPh sb="0" eb="2">
      <t>シザイ</t>
    </rPh>
    <rPh sb="2" eb="4">
      <t>イッシキ</t>
    </rPh>
    <rPh sb="12" eb="14">
      <t>フセツ</t>
    </rPh>
    <phoneticPr fontId="1"/>
  </si>
  <si>
    <t>クラウドサーバ設定、通信確認</t>
    <rPh sb="7" eb="9">
      <t>セッテイ</t>
    </rPh>
    <rPh sb="10" eb="12">
      <t>ツウシン</t>
    </rPh>
    <rPh sb="12" eb="14">
      <t>カクニン</t>
    </rPh>
    <phoneticPr fontId="1"/>
  </si>
  <si>
    <t>親機、中継機、連続センサー</t>
    <rPh sb="0" eb="2">
      <t>オヤキ</t>
    </rPh>
    <rPh sb="3" eb="5">
      <t>チュウケイ</t>
    </rPh>
    <rPh sb="5" eb="6">
      <t>キ</t>
    </rPh>
    <rPh sb="7" eb="9">
      <t>レンゾク</t>
    </rPh>
    <phoneticPr fontId="1"/>
  </si>
  <si>
    <t>タブレット端末</t>
    <rPh sb="5" eb="7">
      <t>タンマツ</t>
    </rPh>
    <phoneticPr fontId="1"/>
  </si>
  <si>
    <t>保持具、通信契約手数料</t>
    <rPh sb="0" eb="2">
      <t>ホジ</t>
    </rPh>
    <rPh sb="2" eb="3">
      <t>グ</t>
    </rPh>
    <rPh sb="4" eb="6">
      <t>ツウシン</t>
    </rPh>
    <rPh sb="6" eb="8">
      <t>ケイヤク</t>
    </rPh>
    <rPh sb="8" eb="11">
      <t>テスウリョウ</t>
    </rPh>
    <phoneticPr fontId="1"/>
  </si>
  <si>
    <t>―</t>
    <phoneticPr fontId="1"/>
  </si>
  <si>
    <t>データ分析費</t>
    <rPh sb="3" eb="5">
      <t>ブンセキ</t>
    </rPh>
    <rPh sb="5" eb="6">
      <t>ヒ</t>
    </rPh>
    <phoneticPr fontId="1"/>
  </si>
  <si>
    <t>台</t>
    <rPh sb="0" eb="1">
      <t>ダイ</t>
    </rPh>
    <phoneticPr fontId="1"/>
  </si>
  <si>
    <t>個</t>
    <rPh sb="0" eb="1">
      <t>コ</t>
    </rPh>
    <phoneticPr fontId="1"/>
  </si>
  <si>
    <t>交換頻度は年4回</t>
    <rPh sb="0" eb="2">
      <t>コウカン</t>
    </rPh>
    <rPh sb="2" eb="4">
      <t>ヒンド</t>
    </rPh>
    <rPh sb="5" eb="6">
      <t>ネン</t>
    </rPh>
    <rPh sb="7" eb="8">
      <t>カイ</t>
    </rPh>
    <phoneticPr fontId="1"/>
  </si>
  <si>
    <t>交換電池(電流用)　3本セット</t>
    <rPh sb="0" eb="2">
      <t>コウカン</t>
    </rPh>
    <rPh sb="2" eb="4">
      <t>デンチ</t>
    </rPh>
    <rPh sb="5" eb="7">
      <t>デンリュウ</t>
    </rPh>
    <rPh sb="7" eb="8">
      <t>ヨウ</t>
    </rPh>
    <rPh sb="11" eb="12">
      <t>ホン</t>
    </rPh>
    <phoneticPr fontId="1"/>
  </si>
  <si>
    <t>交換電池(振動・温度用)　CR電池</t>
    <rPh sb="0" eb="2">
      <t>コウカン</t>
    </rPh>
    <rPh sb="2" eb="4">
      <t>デンチ</t>
    </rPh>
    <rPh sb="5" eb="7">
      <t>シンドウ</t>
    </rPh>
    <rPh sb="8" eb="10">
      <t>オンド</t>
    </rPh>
    <rPh sb="10" eb="11">
      <t>ヨウ</t>
    </rPh>
    <rPh sb="15" eb="17">
      <t>デンチ</t>
    </rPh>
    <phoneticPr fontId="1"/>
  </si>
  <si>
    <t>※対象機器数より試算</t>
    <rPh sb="1" eb="3">
      <t>タイショウ</t>
    </rPh>
    <rPh sb="3" eb="5">
      <t>キキ</t>
    </rPh>
    <rPh sb="5" eb="6">
      <t>スウ</t>
    </rPh>
    <rPh sb="8" eb="10">
      <t>シサン</t>
    </rPh>
    <phoneticPr fontId="1"/>
  </si>
  <si>
    <t>対象機器8台で100千円/年</t>
    <rPh sb="0" eb="2">
      <t>タイショウ</t>
    </rPh>
    <rPh sb="2" eb="4">
      <t>キキ</t>
    </rPh>
    <rPh sb="5" eb="6">
      <t>ダイ</t>
    </rPh>
    <rPh sb="10" eb="12">
      <t>センエン</t>
    </rPh>
    <rPh sb="13" eb="14">
      <t>ネン</t>
    </rPh>
    <phoneticPr fontId="1"/>
  </si>
  <si>
    <t>点検帳票作成、クラウドサーバ設定</t>
    <rPh sb="0" eb="2">
      <t>テンケン</t>
    </rPh>
    <rPh sb="2" eb="4">
      <t>チョウヒョウ</t>
    </rPh>
    <rPh sb="4" eb="6">
      <t>サクセイ</t>
    </rPh>
    <rPh sb="14" eb="16">
      <t>セッテイ</t>
    </rPh>
    <phoneticPr fontId="1"/>
  </si>
  <si>
    <t>機器設置費、クラウドサーバ設定、通信確認費</t>
    <rPh sb="0" eb="2">
      <t>キキ</t>
    </rPh>
    <rPh sb="2" eb="4">
      <t>セッチ</t>
    </rPh>
    <rPh sb="4" eb="5">
      <t>ヒ</t>
    </rPh>
    <phoneticPr fontId="1"/>
  </si>
  <si>
    <t>電池交換の作業費</t>
    <rPh sb="0" eb="2">
      <t>デンチ</t>
    </rPh>
    <rPh sb="2" eb="4">
      <t>コウカン</t>
    </rPh>
    <rPh sb="5" eb="7">
      <t>サギョウ</t>
    </rPh>
    <rPh sb="7" eb="8">
      <t>ヒ</t>
    </rPh>
    <phoneticPr fontId="1"/>
  </si>
  <si>
    <t>単価は宮城県/主任の場合、電池交換は年4回実施</t>
    <rPh sb="0" eb="2">
      <t>タンカ</t>
    </rPh>
    <rPh sb="3" eb="6">
      <t>ミヤギケン</t>
    </rPh>
    <rPh sb="7" eb="9">
      <t>シュニン</t>
    </rPh>
    <rPh sb="10" eb="12">
      <t>バアイ</t>
    </rPh>
    <rPh sb="13" eb="15">
      <t>デンチ</t>
    </rPh>
    <rPh sb="15" eb="17">
      <t>コウカン</t>
    </rPh>
    <rPh sb="18" eb="19">
      <t>ネン</t>
    </rPh>
    <rPh sb="20" eb="21">
      <t>カイ</t>
    </rPh>
    <rPh sb="21" eb="23">
      <t>ジッシ</t>
    </rPh>
    <phoneticPr fontId="1"/>
  </si>
  <si>
    <t>詳細診断</t>
    <rPh sb="0" eb="2">
      <t>ショウサイ</t>
    </rPh>
    <rPh sb="2" eb="4">
      <t>シンダン</t>
    </rPh>
    <phoneticPr fontId="1"/>
  </si>
  <si>
    <t>AE診断</t>
    <rPh sb="2" eb="4">
      <t>シンダン</t>
    </rPh>
    <phoneticPr fontId="1"/>
  </si>
  <si>
    <t>測定結果の報告書</t>
    <rPh sb="0" eb="2">
      <t>ソクテイ</t>
    </rPh>
    <rPh sb="2" eb="4">
      <t>ケッカ</t>
    </rPh>
    <rPh sb="5" eb="8">
      <t>ホウコクショ</t>
    </rPh>
    <phoneticPr fontId="1"/>
  </si>
  <si>
    <t>精密診断の回避</t>
    <rPh sb="0" eb="2">
      <t>セイミツ</t>
    </rPh>
    <rPh sb="2" eb="4">
      <t>シンダン</t>
    </rPh>
    <rPh sb="5" eb="7">
      <t>カイヒ</t>
    </rPh>
    <phoneticPr fontId="1"/>
  </si>
  <si>
    <t>3-2 精密診断の回避</t>
    <rPh sb="4" eb="6">
      <t>セイミツ</t>
    </rPh>
    <rPh sb="6" eb="8">
      <t>シンダン</t>
    </rPh>
    <rPh sb="9" eb="11">
      <t>カイヒ</t>
    </rPh>
    <phoneticPr fontId="1"/>
  </si>
  <si>
    <t>故障対応費の低減</t>
    <rPh sb="0" eb="2">
      <t>コショウ</t>
    </rPh>
    <rPh sb="2" eb="4">
      <t>タイオウ</t>
    </rPh>
    <rPh sb="4" eb="5">
      <t>ヒ</t>
    </rPh>
    <rPh sb="6" eb="8">
      <t>テイゲン</t>
    </rPh>
    <phoneticPr fontId="1"/>
  </si>
  <si>
    <t>【汚水ポンプ】</t>
    <rPh sb="1" eb="3">
      <t>オスイ</t>
    </rPh>
    <phoneticPr fontId="1"/>
  </si>
  <si>
    <t>【送風機】</t>
    <rPh sb="1" eb="4">
      <t>ソウフウキ</t>
    </rPh>
    <phoneticPr fontId="1"/>
  </si>
  <si>
    <t>汚水ポンプの故障対応費(処理規模1万m3/日)</t>
    <rPh sb="0" eb="2">
      <t>オスイ</t>
    </rPh>
    <rPh sb="6" eb="8">
      <t>コショウ</t>
    </rPh>
    <rPh sb="8" eb="10">
      <t>タイオウ</t>
    </rPh>
    <rPh sb="10" eb="11">
      <t>ヒ</t>
    </rPh>
    <rPh sb="12" eb="14">
      <t>ショリ</t>
    </rPh>
    <rPh sb="14" eb="16">
      <t>キボ</t>
    </rPh>
    <rPh sb="17" eb="18">
      <t>マン</t>
    </rPh>
    <rPh sb="21" eb="22">
      <t>ニチ</t>
    </rPh>
    <phoneticPr fontId="1"/>
  </si>
  <si>
    <t>汚水ポンプの故障対応費(処理規模5万m3/日)</t>
    <rPh sb="0" eb="2">
      <t>オスイ</t>
    </rPh>
    <rPh sb="6" eb="8">
      <t>コショウ</t>
    </rPh>
    <rPh sb="8" eb="10">
      <t>タイオウ</t>
    </rPh>
    <rPh sb="10" eb="11">
      <t>ヒ</t>
    </rPh>
    <rPh sb="12" eb="14">
      <t>ショリ</t>
    </rPh>
    <rPh sb="14" eb="16">
      <t>キボ</t>
    </rPh>
    <rPh sb="17" eb="18">
      <t>マン</t>
    </rPh>
    <rPh sb="21" eb="22">
      <t>ニチ</t>
    </rPh>
    <phoneticPr fontId="1"/>
  </si>
  <si>
    <t>汚水ポンプの故障対応費(処理規模10万m3/日)</t>
    <rPh sb="0" eb="2">
      <t>オスイ</t>
    </rPh>
    <rPh sb="6" eb="8">
      <t>コショウ</t>
    </rPh>
    <rPh sb="8" eb="10">
      <t>タイオウ</t>
    </rPh>
    <rPh sb="10" eb="11">
      <t>ヒ</t>
    </rPh>
    <rPh sb="12" eb="14">
      <t>ショリ</t>
    </rPh>
    <rPh sb="14" eb="16">
      <t>キボ</t>
    </rPh>
    <rPh sb="18" eb="19">
      <t>マン</t>
    </rPh>
    <rPh sb="22" eb="23">
      <t>ニチ</t>
    </rPh>
    <phoneticPr fontId="1"/>
  </si>
  <si>
    <t>送風機の故障対応費(処理規模1万m3/日)</t>
    <rPh sb="0" eb="3">
      <t>ソウフウキ</t>
    </rPh>
    <rPh sb="4" eb="6">
      <t>コショウ</t>
    </rPh>
    <rPh sb="6" eb="8">
      <t>タイオウ</t>
    </rPh>
    <rPh sb="8" eb="9">
      <t>ヒ</t>
    </rPh>
    <rPh sb="15" eb="16">
      <t>マン</t>
    </rPh>
    <phoneticPr fontId="1"/>
  </si>
  <si>
    <t>送風機の故障対応費(処理規模5万m3/日)</t>
    <rPh sb="0" eb="3">
      <t>ソウフウキ</t>
    </rPh>
    <rPh sb="4" eb="6">
      <t>コショウ</t>
    </rPh>
    <rPh sb="6" eb="8">
      <t>タイオウ</t>
    </rPh>
    <rPh sb="8" eb="9">
      <t>ヒ</t>
    </rPh>
    <rPh sb="15" eb="16">
      <t>マン</t>
    </rPh>
    <phoneticPr fontId="1"/>
  </si>
  <si>
    <t>送風機の故障対応費(処理規模10万m3/日)</t>
    <rPh sb="0" eb="3">
      <t>ソウフウキ</t>
    </rPh>
    <rPh sb="4" eb="6">
      <t>コショウ</t>
    </rPh>
    <rPh sb="6" eb="8">
      <t>タイオウ</t>
    </rPh>
    <rPh sb="8" eb="9">
      <t>ヒ</t>
    </rPh>
    <rPh sb="16" eb="17">
      <t>マン</t>
    </rPh>
    <phoneticPr fontId="1"/>
  </si>
  <si>
    <t>標準費[円/年/台]</t>
    <rPh sb="0" eb="2">
      <t>ヒョウジュン</t>
    </rPh>
    <rPh sb="2" eb="3">
      <t>ヒ</t>
    </rPh>
    <rPh sb="4" eb="5">
      <t>エン</t>
    </rPh>
    <rPh sb="6" eb="7">
      <t>ネン</t>
    </rPh>
    <rPh sb="8" eb="9">
      <t>ダイ</t>
    </rPh>
    <phoneticPr fontId="1"/>
  </si>
  <si>
    <t>③=②/①　過年度実績値が不明の場合は10％とする</t>
    <rPh sb="6" eb="9">
      <t>カネンド</t>
    </rPh>
    <rPh sb="9" eb="11">
      <t>ジッセキ</t>
    </rPh>
    <rPh sb="11" eb="12">
      <t>アタイ</t>
    </rPh>
    <rPh sb="13" eb="15">
      <t>フメイ</t>
    </rPh>
    <rPh sb="16" eb="18">
      <t>バアイ</t>
    </rPh>
    <phoneticPr fontId="1"/>
  </si>
  <si>
    <t>3-3 点検時間の削減</t>
    <rPh sb="4" eb="6">
      <t>テンケン</t>
    </rPh>
    <rPh sb="6" eb="8">
      <t>ジカン</t>
    </rPh>
    <rPh sb="9" eb="11">
      <t>サクゲン</t>
    </rPh>
    <phoneticPr fontId="1"/>
  </si>
  <si>
    <t>点検時間の削減</t>
    <rPh sb="0" eb="2">
      <t>テンケン</t>
    </rPh>
    <rPh sb="2" eb="4">
      <t>ジカン</t>
    </rPh>
    <rPh sb="5" eb="7">
      <t>サクゲン</t>
    </rPh>
    <phoneticPr fontId="1"/>
  </si>
  <si>
    <t>①紙に記載した点検結果を電子化する転記作業も含む</t>
    <rPh sb="1" eb="2">
      <t>カミ</t>
    </rPh>
    <rPh sb="3" eb="5">
      <t>キサイ</t>
    </rPh>
    <rPh sb="7" eb="9">
      <t>テンケン</t>
    </rPh>
    <rPh sb="9" eb="11">
      <t>ケッカ</t>
    </rPh>
    <rPh sb="12" eb="15">
      <t>デンシカ</t>
    </rPh>
    <rPh sb="17" eb="19">
      <t>テンキ</t>
    </rPh>
    <rPh sb="19" eb="21">
      <t>サギョウ</t>
    </rPh>
    <rPh sb="22" eb="23">
      <t>フク</t>
    </rPh>
    <phoneticPr fontId="1"/>
  </si>
  <si>
    <t>備考</t>
    <rPh sb="0" eb="2">
      <t>ビコウ</t>
    </rPh>
    <phoneticPr fontId="1"/>
  </si>
  <si>
    <r>
      <t>①×(②/100)×(365日/年)×(8時間/人工)</t>
    </r>
    <r>
      <rPr>
        <vertAlign val="superscript"/>
        <sz val="11"/>
        <color theme="1"/>
        <rFont val="游ゴシック"/>
        <family val="3"/>
        <charset val="128"/>
        <scheme val="minor"/>
      </rPr>
      <t>-1</t>
    </r>
    <r>
      <rPr>
        <sz val="11"/>
        <color theme="1"/>
        <rFont val="游ゴシック"/>
        <family val="3"/>
        <charset val="128"/>
        <scheme val="minor"/>
      </rPr>
      <t>×③</t>
    </r>
    <rPh sb="14" eb="15">
      <t>ニチ</t>
    </rPh>
    <rPh sb="16" eb="17">
      <t>ネン</t>
    </rPh>
    <rPh sb="21" eb="23">
      <t>ジカン</t>
    </rPh>
    <rPh sb="24" eb="26">
      <t>ニンク</t>
    </rPh>
    <phoneticPr fontId="1"/>
  </si>
  <si>
    <t>点検時間[時間]</t>
    <rPh sb="0" eb="2">
      <t>テンケン</t>
    </rPh>
    <rPh sb="2" eb="4">
      <t>ジカン</t>
    </rPh>
    <rPh sb="5" eb="7">
      <t>ジカン</t>
    </rPh>
    <phoneticPr fontId="1"/>
  </si>
  <si>
    <t>タブレット点検による時間低減の割合[％]</t>
    <rPh sb="5" eb="7">
      <t>テンケン</t>
    </rPh>
    <rPh sb="10" eb="12">
      <t>ジカン</t>
    </rPh>
    <rPh sb="12" eb="14">
      <t>テイゲン</t>
    </rPh>
    <rPh sb="15" eb="17">
      <t>ワリアイ</t>
    </rPh>
    <phoneticPr fontId="1"/>
  </si>
  <si>
    <t>人件費[円/人工]</t>
    <rPh sb="0" eb="3">
      <t>ジンケンヒ</t>
    </rPh>
    <rPh sb="4" eb="5">
      <t>エン</t>
    </rPh>
    <rPh sb="6" eb="8">
      <t>ニンク</t>
    </rPh>
    <phoneticPr fontId="1"/>
  </si>
  <si>
    <t>宮城県/主任の場合の電工単価(8時間)</t>
    <rPh sb="0" eb="3">
      <t>ミヤギケン</t>
    </rPh>
    <rPh sb="4" eb="6">
      <t>シュニン</t>
    </rPh>
    <rPh sb="7" eb="9">
      <t>バアイ</t>
    </rPh>
    <rPh sb="10" eb="12">
      <t>デンコウ</t>
    </rPh>
    <rPh sb="12" eb="14">
      <t>タンカ</t>
    </rPh>
    <rPh sb="16" eb="18">
      <t>ジカン</t>
    </rPh>
    <phoneticPr fontId="1"/>
  </si>
  <si>
    <t>入力値</t>
    <rPh sb="0" eb="3">
      <t>ニュウリョクチ</t>
    </rPh>
    <phoneticPr fontId="1"/>
  </si>
  <si>
    <t>紙の点検帳票から転記する作業時間を含む</t>
    <rPh sb="0" eb="1">
      <t>カミ</t>
    </rPh>
    <rPh sb="2" eb="4">
      <t>テンケン</t>
    </rPh>
    <rPh sb="14" eb="16">
      <t>ジカン</t>
    </rPh>
    <rPh sb="17" eb="18">
      <t>フク</t>
    </rPh>
    <phoneticPr fontId="1"/>
  </si>
  <si>
    <t>4　経費回収年</t>
    <rPh sb="2" eb="4">
      <t>ケイヒ</t>
    </rPh>
    <rPh sb="4" eb="6">
      <t>カイシュウ</t>
    </rPh>
    <rPh sb="6" eb="7">
      <t>ネン</t>
    </rPh>
    <phoneticPr fontId="1"/>
  </si>
  <si>
    <t>経費回収年　＝</t>
    <rPh sb="0" eb="2">
      <t>ケイヒ</t>
    </rPh>
    <rPh sb="2" eb="4">
      <t>カイシュウ</t>
    </rPh>
    <rPh sb="4" eb="5">
      <t>ネン</t>
    </rPh>
    <phoneticPr fontId="1"/>
  </si>
  <si>
    <t>建設費</t>
    <rPh sb="0" eb="2">
      <t>ケンセツ</t>
    </rPh>
    <rPh sb="2" eb="3">
      <t>ヒ</t>
    </rPh>
    <phoneticPr fontId="1"/>
  </si>
  <si>
    <t>導入効果　‐　維持管理費</t>
    <rPh sb="0" eb="2">
      <t>ドウニュウ</t>
    </rPh>
    <rPh sb="2" eb="4">
      <t>コウカ</t>
    </rPh>
    <rPh sb="7" eb="9">
      <t>イジ</t>
    </rPh>
    <rPh sb="9" eb="12">
      <t>カンリヒ</t>
    </rPh>
    <phoneticPr fontId="1"/>
  </si>
  <si>
    <t>＝</t>
    <phoneticPr fontId="1"/>
  </si>
  <si>
    <t>過年度実績に基づき入力</t>
    <rPh sb="6" eb="7">
      <t>モト</t>
    </rPh>
    <rPh sb="9" eb="11">
      <t>ニュウリョク</t>
    </rPh>
    <phoneticPr fontId="1"/>
  </si>
  <si>
    <t>平成28年度実施国総研アンケート結果より(参考値)</t>
    <rPh sb="0" eb="2">
      <t>ヘイセイ</t>
    </rPh>
    <rPh sb="4" eb="6">
      <t>ネンド</t>
    </rPh>
    <rPh sb="6" eb="8">
      <t>ジッシ</t>
    </rPh>
    <rPh sb="8" eb="11">
      <t>コクソウケン</t>
    </rPh>
    <rPh sb="16" eb="18">
      <t>ケッカ</t>
    </rPh>
    <rPh sb="21" eb="23">
      <t>サンコウ</t>
    </rPh>
    <rPh sb="23" eb="24">
      <t>アタイ</t>
    </rPh>
    <phoneticPr fontId="1"/>
  </si>
  <si>
    <t>平成28年度実施国総研アンケート結果より(参考値)</t>
    <rPh sb="0" eb="2">
      <t>ヘイセイ</t>
    </rPh>
    <rPh sb="4" eb="6">
      <t>ネンド</t>
    </rPh>
    <rPh sb="6" eb="8">
      <t>ジッシ</t>
    </rPh>
    <rPh sb="8" eb="11">
      <t>コクソウケン</t>
    </rPh>
    <rPh sb="16" eb="18">
      <t>ケッカ</t>
    </rPh>
    <rPh sb="21" eb="23">
      <t>サンコウ</t>
    </rPh>
    <rPh sb="23" eb="24">
      <t>チ</t>
    </rPh>
    <phoneticPr fontId="1"/>
  </si>
  <si>
    <t>資材一式、LANケーブル敷設</t>
    <phoneticPr fontId="1"/>
  </si>
  <si>
    <t>処理場規模</t>
    <rPh sb="0" eb="3">
      <t>ショリジョウ</t>
    </rPh>
    <rPh sb="3" eb="5">
      <t>キボ</t>
    </rPh>
    <phoneticPr fontId="1"/>
  </si>
  <si>
    <t>維持管理費</t>
    <rPh sb="0" eb="2">
      <t>イジ</t>
    </rPh>
    <rPh sb="2" eb="5">
      <t>カンリヒ</t>
    </rPh>
    <phoneticPr fontId="1"/>
  </si>
  <si>
    <t>【建設費】</t>
    <rPh sb="1" eb="3">
      <t>ケンセツ</t>
    </rPh>
    <rPh sb="3" eb="4">
      <t>ヒ</t>
    </rPh>
    <phoneticPr fontId="1"/>
  </si>
  <si>
    <t>【維持管理費】</t>
    <rPh sb="1" eb="3">
      <t>イジ</t>
    </rPh>
    <rPh sb="3" eb="6">
      <t>カンリヒ</t>
    </rPh>
    <phoneticPr fontId="1"/>
  </si>
  <si>
    <t>【導入効果】</t>
    <rPh sb="1" eb="3">
      <t>ドウニュウ</t>
    </rPh>
    <rPh sb="3" eb="5">
      <t>コウカ</t>
    </rPh>
    <phoneticPr fontId="1"/>
  </si>
  <si>
    <t>導入効果</t>
    <rPh sb="0" eb="2">
      <t>ドウニュウ</t>
    </rPh>
    <rPh sb="2" eb="4">
      <t>コウカ</t>
    </rPh>
    <phoneticPr fontId="1"/>
  </si>
  <si>
    <t>処理場規模[m3/日]</t>
    <rPh sb="0" eb="3">
      <t>ショリジョウ</t>
    </rPh>
    <rPh sb="3" eb="5">
      <t>キボ</t>
    </rPh>
    <rPh sb="9" eb="10">
      <t>ニチ</t>
    </rPh>
    <phoneticPr fontId="1"/>
  </si>
  <si>
    <t>処理場規模[m3/日]</t>
    <rPh sb="0" eb="3">
      <t>ショリジョウ</t>
    </rPh>
    <rPh sb="3" eb="5">
      <t>キボ</t>
    </rPh>
    <phoneticPr fontId="1"/>
  </si>
  <si>
    <t>y1=0.0191x+5370.8</t>
    <phoneticPr fontId="1"/>
  </si>
  <si>
    <t>y2=0.0014x+683.54</t>
    <phoneticPr fontId="1"/>
  </si>
  <si>
    <t>y3=0.0016x+1935</t>
    <phoneticPr fontId="1"/>
  </si>
  <si>
    <t>項目</t>
    <rPh sb="0" eb="2">
      <t>コウモク</t>
    </rPh>
    <phoneticPr fontId="1"/>
  </si>
  <si>
    <t>m3/日</t>
    <rPh sb="3" eb="4">
      <t>ニチ</t>
    </rPh>
    <phoneticPr fontId="1"/>
  </si>
  <si>
    <t>費用(千円)</t>
    <rPh sb="0" eb="2">
      <t>ヒヨウ</t>
    </rPh>
    <rPh sb="3" eb="5">
      <t>センエン</t>
    </rPh>
    <phoneticPr fontId="1"/>
  </si>
  <si>
    <t>費用[ 千円]</t>
    <rPh sb="0" eb="2">
      <t>ヒヨウ</t>
    </rPh>
    <rPh sb="4" eb="6">
      <t>センエン</t>
    </rPh>
    <phoneticPr fontId="1"/>
  </si>
  <si>
    <t>１．導入効果の概略検討</t>
    <rPh sb="2" eb="4">
      <t>ドウニュウ</t>
    </rPh>
    <rPh sb="4" eb="6">
      <t>コウカ</t>
    </rPh>
    <rPh sb="7" eb="9">
      <t>ガイリャク</t>
    </rPh>
    <rPh sb="9" eb="11">
      <t>ケントウ</t>
    </rPh>
    <phoneticPr fontId="1"/>
  </si>
  <si>
    <t>２．導入効果の詳細検討</t>
    <rPh sb="2" eb="4">
      <t>ドウニュウ</t>
    </rPh>
    <rPh sb="4" eb="6">
      <t>コウカ</t>
    </rPh>
    <rPh sb="7" eb="9">
      <t>ショウサイ</t>
    </rPh>
    <rPh sb="9" eb="11">
      <t>ケントウ</t>
    </rPh>
    <phoneticPr fontId="1"/>
  </si>
  <si>
    <t>ｘ：処理規模（m3/日） 10000≦X≦100000</t>
    <rPh sb="2" eb="4">
      <t>ショリ</t>
    </rPh>
    <rPh sb="4" eb="6">
      <t>キボ</t>
    </rPh>
    <rPh sb="10" eb="11">
      <t>ヒ</t>
    </rPh>
    <phoneticPr fontId="1"/>
  </si>
  <si>
    <t>モニタリング対象機器</t>
    <rPh sb="6" eb="10">
      <t>タイショウキキ</t>
    </rPh>
    <phoneticPr fontId="1"/>
  </si>
  <si>
    <t>ポンプ</t>
    <phoneticPr fontId="1"/>
  </si>
  <si>
    <t>ブロワー</t>
    <phoneticPr fontId="1"/>
  </si>
  <si>
    <t>モニタリング対象機器の合計台数</t>
    <rPh sb="6" eb="10">
      <t>タイショウキキ</t>
    </rPh>
    <rPh sb="11" eb="13">
      <t>ゴウケイ</t>
    </rPh>
    <rPh sb="13" eb="15">
      <t>ダイスウ</t>
    </rPh>
    <phoneticPr fontId="1"/>
  </si>
  <si>
    <t>故障対応費(ポンプ)</t>
    <rPh sb="0" eb="2">
      <t>コショウ</t>
    </rPh>
    <rPh sb="2" eb="4">
      <t>タイオウ</t>
    </rPh>
    <rPh sb="4" eb="5">
      <t>ヒ</t>
    </rPh>
    <phoneticPr fontId="1"/>
  </si>
  <si>
    <t>故障対応費(ブロワー)</t>
    <rPh sb="0" eb="2">
      <t>コショウ</t>
    </rPh>
    <rPh sb="2" eb="4">
      <t>タイオウ</t>
    </rPh>
    <rPh sb="4" eb="5">
      <t>ヒ</t>
    </rPh>
    <phoneticPr fontId="1"/>
  </si>
  <si>
    <t>同上</t>
    <rPh sb="0" eb="2">
      <t>ドウジョウ</t>
    </rPh>
    <phoneticPr fontId="1"/>
  </si>
  <si>
    <t>t</t>
    <phoneticPr fontId="1"/>
  </si>
  <si>
    <t>対象の機器の日常点検に要する時間</t>
    <rPh sb="0" eb="2">
      <t>タイショウ</t>
    </rPh>
    <rPh sb="3" eb="5">
      <t>キキ</t>
    </rPh>
    <rPh sb="6" eb="10">
      <t>ニチジョウテンケン</t>
    </rPh>
    <rPh sb="11" eb="12">
      <t>ヨウ</t>
    </rPh>
    <rPh sb="14" eb="16">
      <t>ジカン</t>
    </rPh>
    <phoneticPr fontId="1"/>
  </si>
  <si>
    <t>地下階から地上階へのケーブル長</t>
    <rPh sb="0" eb="2">
      <t>チカ</t>
    </rPh>
    <rPh sb="2" eb="3">
      <t>カイ</t>
    </rPh>
    <rPh sb="5" eb="7">
      <t>チジョウ</t>
    </rPh>
    <rPh sb="7" eb="8">
      <t>カイ</t>
    </rPh>
    <rPh sb="14" eb="15">
      <t>チョウ</t>
    </rPh>
    <phoneticPr fontId="1"/>
  </si>
  <si>
    <r>
      <t>見積もりによる試算</t>
    </r>
    <r>
      <rPr>
        <sz val="11"/>
        <color rgb="FFFF0000"/>
        <rFont val="游ゴシック"/>
        <family val="3"/>
        <charset val="128"/>
        <scheme val="minor"/>
      </rPr>
      <t>（配線工事業者による作業）</t>
    </r>
    <rPh sb="0" eb="2">
      <t>ミツ</t>
    </rPh>
    <rPh sb="7" eb="9">
      <t>シサン</t>
    </rPh>
    <rPh sb="10" eb="16">
      <t>ハイセンコウジギョウシャ</t>
    </rPh>
    <rPh sb="19" eb="21">
      <t>サギョウ</t>
    </rPh>
    <phoneticPr fontId="1"/>
  </si>
  <si>
    <r>
      <t>①精密診断の回避　</t>
    </r>
    <r>
      <rPr>
        <sz val="11"/>
        <color rgb="FFFF0000"/>
        <rFont val="游ゴシック"/>
        <family val="3"/>
        <charset val="128"/>
        <scheme val="minor"/>
      </rPr>
      <t>※精密診断：劣化状態を確認するため、専門業者に診断を依頼する必要があるもの</t>
    </r>
    <rPh sb="1" eb="3">
      <t>セイミツ</t>
    </rPh>
    <rPh sb="3" eb="5">
      <t>シンダン</t>
    </rPh>
    <rPh sb="6" eb="8">
      <t>カイヒ</t>
    </rPh>
    <rPh sb="10" eb="14">
      <t>セイミツシンダン</t>
    </rPh>
    <rPh sb="27" eb="31">
      <t>センモンギョウシャ</t>
    </rPh>
    <phoneticPr fontId="1"/>
  </si>
  <si>
    <t>モニタリング対象機器の合計台数×４</t>
    <rPh sb="6" eb="10">
      <t>タイショウキキ</t>
    </rPh>
    <rPh sb="11" eb="13">
      <t>ゴウケイ</t>
    </rPh>
    <rPh sb="13" eb="15">
      <t>ダイスウ</t>
    </rPh>
    <phoneticPr fontId="1"/>
  </si>
  <si>
    <t>日常点検で必要とする数(場内、場外）</t>
    <rPh sb="0" eb="2">
      <t>ニチジョウ</t>
    </rPh>
    <rPh sb="2" eb="4">
      <t>テンケン</t>
    </rPh>
    <rPh sb="5" eb="7">
      <t>ヒツヨウ</t>
    </rPh>
    <rPh sb="10" eb="11">
      <t>カズ</t>
    </rPh>
    <rPh sb="12" eb="14">
      <t>ジョウナイ</t>
    </rPh>
    <rPh sb="15" eb="17">
      <t>ジョウガイ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</si>
</sst>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;[Red]\-#,##0.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rgb="FF0000FF"/>
      <name val="游ゴシック"/>
      <family val="3"/>
      <charset val="128"/>
      <scheme val="minor"/>
    </font>
    <font>
      <sz val="10"/>
      <color rgb="FF0000FF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4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7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indent="1"/>
    </xf>
    <xf numFmtId="0" fontId="0" fillId="0" borderId="2" xfId="0" applyFill="1" applyBorder="1" applyAlignment="1">
      <alignment horizontal="left" vertical="center" indent="1"/>
    </xf>
    <xf numFmtId="0" fontId="0" fillId="0" borderId="9" xfId="0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wrapText="1" indent="1"/>
    </xf>
    <xf numFmtId="0" fontId="0" fillId="0" borderId="5" xfId="0" applyFill="1" applyBorder="1" applyAlignment="1">
      <alignment horizontal="left" vertical="center" wrapText="1" indent="1"/>
    </xf>
    <xf numFmtId="0" fontId="0" fillId="4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left" vertical="center" wrapText="1" indent="1"/>
    </xf>
    <xf numFmtId="0" fontId="0" fillId="4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 shrinkToFit="1"/>
    </xf>
    <xf numFmtId="38" fontId="0" fillId="0" borderId="1" xfId="0" applyNumberFormat="1" applyFill="1" applyBorder="1">
      <alignment vertical="center"/>
    </xf>
    <xf numFmtId="38" fontId="0" fillId="0" borderId="1" xfId="0" applyNumberFormat="1" applyFill="1" applyBorder="1" applyAlignment="1">
      <alignment vertical="center"/>
    </xf>
    <xf numFmtId="38" fontId="0" fillId="4" borderId="1" xfId="1" applyFont="1" applyFill="1" applyBorder="1">
      <alignment vertical="center"/>
    </xf>
    <xf numFmtId="38" fontId="0" fillId="2" borderId="1" xfId="0" applyNumberFormat="1" applyFill="1" applyBorder="1" applyAlignment="1">
      <alignment vertical="center"/>
    </xf>
    <xf numFmtId="38" fontId="0" fillId="5" borderId="1" xfId="0" applyNumberFormat="1" applyFill="1" applyBorder="1" applyAlignment="1">
      <alignment vertical="center"/>
    </xf>
    <xf numFmtId="38" fontId="0" fillId="4" borderId="1" xfId="0" applyNumberForma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176" fontId="4" fillId="0" borderId="6" xfId="0" applyNumberFormat="1" applyFont="1" applyFill="1" applyBorder="1">
      <alignment vertical="center"/>
    </xf>
    <xf numFmtId="38" fontId="4" fillId="0" borderId="6" xfId="1" applyFont="1" applyBorder="1">
      <alignment vertical="center"/>
    </xf>
    <xf numFmtId="0" fontId="4" fillId="0" borderId="7" xfId="0" applyFont="1" applyBorder="1">
      <alignment vertical="center"/>
    </xf>
    <xf numFmtId="176" fontId="4" fillId="0" borderId="7" xfId="0" applyNumberFormat="1" applyFont="1" applyFill="1" applyBorder="1">
      <alignment vertical="center"/>
    </xf>
    <xf numFmtId="0" fontId="4" fillId="0" borderId="5" xfId="0" applyFont="1" applyFill="1" applyBorder="1">
      <alignment vertical="center"/>
    </xf>
    <xf numFmtId="176" fontId="4" fillId="0" borderId="5" xfId="0" applyNumberFormat="1" applyFont="1" applyFill="1" applyBorder="1">
      <alignment vertical="center"/>
    </xf>
    <xf numFmtId="38" fontId="4" fillId="0" borderId="5" xfId="1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38" fontId="4" fillId="0" borderId="7" xfId="1" applyFont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38" fontId="4" fillId="0" borderId="6" xfId="1" applyFont="1" applyFill="1" applyBorder="1">
      <alignment vertical="center"/>
    </xf>
    <xf numFmtId="176" fontId="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56" fontId="4" fillId="0" borderId="0" xfId="0" applyNumberFormat="1" applyFont="1" applyFill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176" fontId="4" fillId="0" borderId="8" xfId="0" applyNumberFormat="1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38" fontId="0" fillId="4" borderId="1" xfId="1" applyFont="1" applyFill="1" applyBorder="1" applyAlignment="1">
      <alignment horizontal="center" vertical="center" wrapText="1"/>
    </xf>
    <xf numFmtId="38" fontId="4" fillId="0" borderId="7" xfId="1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0" xfId="0" applyFont="1" applyBorder="1">
      <alignment vertical="center"/>
    </xf>
    <xf numFmtId="38" fontId="3" fillId="0" borderId="0" xfId="0" applyNumberFormat="1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4" fillId="6" borderId="0" xfId="1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0" fillId="0" borderId="6" xfId="1" applyNumberFormat="1" applyFont="1" applyBorder="1">
      <alignment vertical="center"/>
    </xf>
    <xf numFmtId="0" fontId="0" fillId="0" borderId="7" xfId="1" applyNumberFormat="1" applyFont="1" applyBorder="1">
      <alignment vertical="center"/>
    </xf>
    <xf numFmtId="0" fontId="0" fillId="0" borderId="1" xfId="0" applyNumberFormat="1" applyBorder="1">
      <alignment vertical="center"/>
    </xf>
    <xf numFmtId="0" fontId="0" fillId="0" borderId="0" xfId="0" applyNumberFormat="1">
      <alignment vertical="center"/>
    </xf>
    <xf numFmtId="0" fontId="0" fillId="0" borderId="0" xfId="1" applyNumberFormat="1" applyFont="1">
      <alignment vertical="center"/>
    </xf>
    <xf numFmtId="0" fontId="0" fillId="0" borderId="1" xfId="1" applyNumberFormat="1" applyFont="1" applyBorder="1">
      <alignment vertical="center"/>
    </xf>
    <xf numFmtId="0" fontId="0" fillId="0" borderId="12" xfId="1" applyNumberFormat="1" applyFont="1" applyBorder="1">
      <alignment vertical="center"/>
    </xf>
    <xf numFmtId="0" fontId="0" fillId="0" borderId="15" xfId="1" applyNumberFormat="1" applyFont="1" applyBorder="1">
      <alignment vertical="center"/>
    </xf>
    <xf numFmtId="0" fontId="0" fillId="0" borderId="3" xfId="0" applyBorder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right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1" xfId="0" applyFill="1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10" fillId="0" borderId="5" xfId="0" applyFont="1" applyFill="1" applyBorder="1">
      <alignment vertical="center"/>
    </xf>
    <xf numFmtId="0" fontId="10" fillId="0" borderId="7" xfId="0" applyFont="1" applyFill="1" applyBorder="1">
      <alignment vertical="center"/>
    </xf>
    <xf numFmtId="0" fontId="10" fillId="0" borderId="1" xfId="0" applyFont="1" applyBorder="1" applyAlignment="1">
      <alignment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177" fontId="4" fillId="0" borderId="9" xfId="1" applyNumberFormat="1" applyFont="1" applyBorder="1" applyAlignment="1">
      <alignment horizontal="center" vertical="center"/>
    </xf>
    <xf numFmtId="177" fontId="4" fillId="0" borderId="8" xfId="1" applyNumberFormat="1" applyFont="1" applyBorder="1" applyAlignment="1">
      <alignment horizontal="center" vertical="center"/>
    </xf>
    <xf numFmtId="177" fontId="4" fillId="0" borderId="10" xfId="1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66CCFF"/>
      <color rgb="FF33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概略検討!$C$15</c:f>
              <c:strCache>
                <c:ptCount val="1"/>
                <c:pt idx="0">
                  <c:v>建設費</c:v>
                </c:pt>
              </c:strCache>
            </c:strRef>
          </c:tx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-0.17418788276465441"/>
                  <c:y val="0.24964093030037912"/>
                </c:manualLayout>
              </c:layout>
              <c:numFmt formatCode="General" sourceLinked="0"/>
            </c:trendlineLbl>
          </c:trendline>
          <c:xVal>
            <c:numRef>
              <c:f>概略検討!$B$16:$B$18</c:f>
              <c:numCache>
                <c:formatCode>General</c:formatCode>
                <c:ptCount val="3"/>
                <c:pt idx="0">
                  <c:v>10000</c:v>
                </c:pt>
                <c:pt idx="1">
                  <c:v>50000</c:v>
                </c:pt>
                <c:pt idx="2">
                  <c:v>100000</c:v>
                </c:pt>
              </c:numCache>
            </c:numRef>
          </c:xVal>
          <c:yVal>
            <c:numRef>
              <c:f>概略検討!$C$16:$C$18</c:f>
              <c:numCache>
                <c:formatCode>General</c:formatCode>
                <c:ptCount val="3"/>
                <c:pt idx="0">
                  <c:v>5833.5</c:v>
                </c:pt>
                <c:pt idx="1">
                  <c:v>5833.5</c:v>
                </c:pt>
                <c:pt idx="2">
                  <c:v>7493.9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CB-4F3E-ADCE-684E9C42E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380480"/>
        <c:axId val="143382016"/>
      </c:scatterChart>
      <c:valAx>
        <c:axId val="143380480"/>
        <c:scaling>
          <c:orientation val="minMax"/>
          <c:max val="100000"/>
        </c:scaling>
        <c:delete val="0"/>
        <c:axPos val="b"/>
        <c:numFmt formatCode="General" sourceLinked="1"/>
        <c:majorTickMark val="out"/>
        <c:minorTickMark val="none"/>
        <c:tickLblPos val="nextTo"/>
        <c:crossAx val="143382016"/>
        <c:crosses val="autoZero"/>
        <c:crossBetween val="midCat"/>
      </c:valAx>
      <c:valAx>
        <c:axId val="143382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3804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概略検討!$C$21</c:f>
              <c:strCache>
                <c:ptCount val="1"/>
                <c:pt idx="0">
                  <c:v>維持管理費</c:v>
                </c:pt>
              </c:strCache>
            </c:strRef>
          </c:tx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-0.16740529308836397"/>
                  <c:y val="0.11378280839895014"/>
                </c:manualLayout>
              </c:layout>
              <c:numFmt formatCode="General" sourceLinked="0"/>
            </c:trendlineLbl>
          </c:trendline>
          <c:xVal>
            <c:numRef>
              <c:f>概略検討!$B$22:$B$24</c:f>
              <c:numCache>
                <c:formatCode>General</c:formatCode>
                <c:ptCount val="3"/>
                <c:pt idx="0">
                  <c:v>10000</c:v>
                </c:pt>
                <c:pt idx="1">
                  <c:v>50000</c:v>
                </c:pt>
                <c:pt idx="2">
                  <c:v>100000</c:v>
                </c:pt>
              </c:numCache>
            </c:numRef>
          </c:xVal>
          <c:yVal>
            <c:numRef>
              <c:f>概略検討!$C$22:$C$24</c:f>
              <c:numCache>
                <c:formatCode>General</c:formatCode>
                <c:ptCount val="3"/>
                <c:pt idx="0">
                  <c:v>716.4</c:v>
                </c:pt>
                <c:pt idx="1">
                  <c:v>716.4</c:v>
                </c:pt>
                <c:pt idx="2">
                  <c:v>834.3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01-4F46-88E2-9630D2BD9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39744"/>
        <c:axId val="88645632"/>
      </c:scatterChart>
      <c:valAx>
        <c:axId val="88639744"/>
        <c:scaling>
          <c:orientation val="minMax"/>
          <c:max val="100000"/>
        </c:scaling>
        <c:delete val="0"/>
        <c:axPos val="b"/>
        <c:numFmt formatCode="General" sourceLinked="1"/>
        <c:majorTickMark val="out"/>
        <c:minorTickMark val="none"/>
        <c:tickLblPos val="nextTo"/>
        <c:crossAx val="88645632"/>
        <c:crosses val="autoZero"/>
        <c:crossBetween val="midCat"/>
      </c:valAx>
      <c:valAx>
        <c:axId val="88645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6397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概略検討!$C$27</c:f>
              <c:strCache>
                <c:ptCount val="1"/>
                <c:pt idx="0">
                  <c:v>導入効果</c:v>
                </c:pt>
              </c:strCache>
            </c:strRef>
          </c:tx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-0.21056277056277056"/>
                  <c:y val="0.20127323928258967"/>
                </c:manualLayout>
              </c:layout>
              <c:numFmt formatCode="General" sourceLinked="0"/>
            </c:trendlineLbl>
          </c:trendline>
          <c:xVal>
            <c:numRef>
              <c:f>概略検討!$B$28:$B$30</c:f>
              <c:numCache>
                <c:formatCode>General</c:formatCode>
                <c:ptCount val="3"/>
                <c:pt idx="0">
                  <c:v>10000</c:v>
                </c:pt>
                <c:pt idx="1">
                  <c:v>50000</c:v>
                </c:pt>
                <c:pt idx="2">
                  <c:v>100000</c:v>
                </c:pt>
              </c:numCache>
            </c:numRef>
          </c:xVal>
          <c:yVal>
            <c:numRef>
              <c:f>概略検討!$C$28:$C$30</c:f>
              <c:numCache>
                <c:formatCode>General</c:formatCode>
                <c:ptCount val="3"/>
                <c:pt idx="0">
                  <c:v>1955.6</c:v>
                </c:pt>
                <c:pt idx="1">
                  <c:v>2009.6</c:v>
                </c:pt>
                <c:pt idx="2">
                  <c:v>2102.6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10-4C44-9398-C81B4F394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87904"/>
        <c:axId val="90589440"/>
      </c:scatterChart>
      <c:valAx>
        <c:axId val="90587904"/>
        <c:scaling>
          <c:orientation val="minMax"/>
          <c:max val="100000"/>
        </c:scaling>
        <c:delete val="0"/>
        <c:axPos val="b"/>
        <c:numFmt formatCode="General" sourceLinked="1"/>
        <c:majorTickMark val="out"/>
        <c:minorTickMark val="none"/>
        <c:tickLblPos val="nextTo"/>
        <c:crossAx val="90589440"/>
        <c:crosses val="autoZero"/>
        <c:crossBetween val="midCat"/>
      </c:valAx>
      <c:valAx>
        <c:axId val="90589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5879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1</xdr:row>
      <xdr:rowOff>47625</xdr:rowOff>
    </xdr:from>
    <xdr:to>
      <xdr:col>6</xdr:col>
      <xdr:colOff>2781300</xdr:colOff>
      <xdr:row>2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458075" y="219075"/>
          <a:ext cx="2400300" cy="266700"/>
        </a:xfrm>
        <a:prstGeom prst="rect">
          <a:avLst/>
        </a:prstGeom>
        <a:solidFill>
          <a:srgbClr val="66CCFF"/>
        </a:solidFill>
        <a:ln w="19050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水色の色かけ部分が数値入力箇所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32</xdr:row>
      <xdr:rowOff>4762</xdr:rowOff>
    </xdr:from>
    <xdr:to>
      <xdr:col>5</xdr:col>
      <xdr:colOff>200025</xdr:colOff>
      <xdr:row>48</xdr:row>
      <xdr:rowOff>4762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542925</xdr:colOff>
      <xdr:row>31</xdr:row>
      <xdr:rowOff>161925</xdr:rowOff>
    </xdr:from>
    <xdr:to>
      <xdr:col>11</xdr:col>
      <xdr:colOff>228600</xdr:colOff>
      <xdr:row>47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32</xdr:row>
      <xdr:rowOff>0</xdr:rowOff>
    </xdr:from>
    <xdr:to>
      <xdr:col>18</xdr:col>
      <xdr:colOff>457200</xdr:colOff>
      <xdr:row>48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FF"/>
  </sheetPr>
  <dimension ref="A1:I77"/>
  <sheetViews>
    <sheetView tabSelected="1" view="pageBreakPreview" topLeftCell="A25" zoomScale="85" zoomScaleNormal="100" zoomScaleSheetLayoutView="85" workbookViewId="0">
      <selection activeCell="H31" sqref="H31"/>
    </sheetView>
  </sheetViews>
  <sheetFormatPr defaultRowHeight="18" x14ac:dyDescent="0.45"/>
  <cols>
    <col min="2" max="2" width="11" bestFit="1" customWidth="1"/>
    <col min="3" max="3" width="36.69921875" bestFit="1" customWidth="1"/>
    <col min="4" max="4" width="13" bestFit="1" customWidth="1"/>
    <col min="5" max="5" width="19.19921875" style="2" bestFit="1" customWidth="1"/>
    <col min="6" max="6" width="11" style="2" bestFit="1" customWidth="1"/>
    <col min="7" max="7" width="48.19921875" bestFit="1" customWidth="1"/>
    <col min="8" max="8" width="23.09765625" bestFit="1" customWidth="1"/>
    <col min="9" max="9" width="40.09765625" bestFit="1" customWidth="1"/>
  </cols>
  <sheetData>
    <row r="1" spans="1:9" ht="20.100000000000001" customHeight="1" x14ac:dyDescent="0.45">
      <c r="A1" s="118" t="s">
        <v>190</v>
      </c>
      <c r="B1" s="118"/>
    </row>
    <row r="2" spans="1:9" ht="20.100000000000001" customHeight="1" x14ac:dyDescent="0.45"/>
    <row r="3" spans="1:9" ht="20.100000000000001" customHeight="1" x14ac:dyDescent="0.45">
      <c r="B3" t="s">
        <v>42</v>
      </c>
    </row>
    <row r="4" spans="1:9" ht="20.100000000000001" customHeight="1" x14ac:dyDescent="0.45">
      <c r="B4" s="4" t="s">
        <v>186</v>
      </c>
      <c r="C4" s="4"/>
      <c r="D4" s="38" t="s">
        <v>187</v>
      </c>
      <c r="E4" s="6"/>
      <c r="F4" s="6"/>
      <c r="G4" s="8"/>
    </row>
    <row r="5" spans="1:9" ht="20.100000000000001" customHeight="1" x14ac:dyDescent="0.45">
      <c r="B5" s="4" t="s">
        <v>175</v>
      </c>
      <c r="C5" s="4"/>
      <c r="D5" s="58">
        <v>50000</v>
      </c>
      <c r="E5" s="6"/>
      <c r="F5" s="6"/>
      <c r="G5" s="8"/>
    </row>
    <row r="6" spans="1:9" ht="20.100000000000001" customHeight="1" x14ac:dyDescent="0.45"/>
    <row r="7" spans="1:9" s="2" customFormat="1" ht="20.100000000000001" customHeight="1" x14ac:dyDescent="0.45">
      <c r="B7" s="11" t="s">
        <v>36</v>
      </c>
      <c r="C7" s="12"/>
      <c r="D7" s="3" t="s">
        <v>33</v>
      </c>
      <c r="E7" s="3" t="s">
        <v>34</v>
      </c>
      <c r="F7" s="3" t="s">
        <v>188</v>
      </c>
      <c r="G7" s="3" t="s">
        <v>37</v>
      </c>
    </row>
    <row r="8" spans="1:9" ht="20.100000000000001" customHeight="1" x14ac:dyDescent="0.45">
      <c r="B8" s="11" t="s">
        <v>0</v>
      </c>
      <c r="C8" s="12"/>
      <c r="D8" s="3" t="s">
        <v>28</v>
      </c>
      <c r="E8" s="4" t="s">
        <v>183</v>
      </c>
      <c r="F8" s="5">
        <f>概略検討!E5</f>
        <v>6325.8</v>
      </c>
      <c r="G8" s="4" t="s">
        <v>192</v>
      </c>
    </row>
    <row r="9" spans="1:9" ht="20.100000000000001" customHeight="1" x14ac:dyDescent="0.45">
      <c r="B9" s="11" t="s">
        <v>25</v>
      </c>
      <c r="C9" s="12"/>
      <c r="D9" s="3" t="s">
        <v>28</v>
      </c>
      <c r="E9" s="4" t="s">
        <v>184</v>
      </c>
      <c r="F9" s="5">
        <f>概略検討!E6</f>
        <v>753.54</v>
      </c>
      <c r="G9" s="4"/>
    </row>
    <row r="10" spans="1:9" ht="20.100000000000001" customHeight="1" x14ac:dyDescent="0.45">
      <c r="B10" s="11" t="s">
        <v>7</v>
      </c>
      <c r="C10" s="12"/>
      <c r="D10" s="3" t="s">
        <v>28</v>
      </c>
      <c r="E10" s="4" t="s">
        <v>185</v>
      </c>
      <c r="F10" s="5">
        <f>概略検討!E7</f>
        <v>2015</v>
      </c>
      <c r="G10" s="4"/>
    </row>
    <row r="11" spans="1:9" ht="20.100000000000001" customHeight="1" x14ac:dyDescent="0.45">
      <c r="B11" s="12"/>
      <c r="C11" s="12"/>
      <c r="D11" s="99"/>
      <c r="E11" s="117"/>
      <c r="F11" s="124"/>
      <c r="G11" s="117"/>
    </row>
    <row r="12" spans="1:9" ht="20.100000000000001" customHeight="1" x14ac:dyDescent="0.45">
      <c r="B12" s="121" t="s">
        <v>24</v>
      </c>
      <c r="C12" s="122"/>
      <c r="D12" s="37" t="s">
        <v>31</v>
      </c>
      <c r="E12" s="37" t="s">
        <v>30</v>
      </c>
      <c r="F12" s="120">
        <f>概略検討!E8</f>
        <v>5</v>
      </c>
      <c r="G12" s="123"/>
    </row>
    <row r="13" spans="1:9" ht="20.100000000000001" customHeight="1" x14ac:dyDescent="0.45">
      <c r="B13" s="25"/>
      <c r="C13" s="25"/>
      <c r="D13" s="131"/>
      <c r="E13" s="131"/>
      <c r="F13" s="132"/>
      <c r="G13" s="133"/>
    </row>
    <row r="14" spans="1:9" ht="20.100000000000001" customHeight="1" x14ac:dyDescent="0.45">
      <c r="B14" s="25"/>
      <c r="C14" s="25"/>
      <c r="D14" s="131"/>
      <c r="E14" s="131"/>
      <c r="F14" s="132"/>
      <c r="G14" s="133"/>
    </row>
    <row r="15" spans="1:9" ht="20.100000000000001" customHeight="1" x14ac:dyDescent="0.45">
      <c r="B15" s="6"/>
      <c r="C15" s="6"/>
      <c r="D15" s="6"/>
      <c r="E15" s="6"/>
      <c r="F15" s="6"/>
      <c r="G15" s="6"/>
      <c r="H15" s="7"/>
      <c r="I15" s="8"/>
    </row>
    <row r="16" spans="1:9" ht="20.100000000000001" customHeight="1" x14ac:dyDescent="0.45">
      <c r="A16" s="118" t="s">
        <v>191</v>
      </c>
      <c r="B16" s="118"/>
    </row>
    <row r="17" spans="2:9" ht="20.100000000000001" customHeight="1" x14ac:dyDescent="0.45">
      <c r="B17" t="s">
        <v>42</v>
      </c>
    </row>
    <row r="18" spans="2:9" s="2" customFormat="1" ht="20.100000000000001" customHeight="1" x14ac:dyDescent="0.45">
      <c r="B18" s="140" t="s">
        <v>36</v>
      </c>
      <c r="C18" s="140"/>
      <c r="D18" s="13" t="s">
        <v>43</v>
      </c>
      <c r="E18" s="3" t="s">
        <v>33</v>
      </c>
      <c r="F18" s="3"/>
      <c r="G18" s="3" t="s">
        <v>37</v>
      </c>
      <c r="H18"/>
      <c r="I18"/>
    </row>
    <row r="19" spans="2:9" s="2" customFormat="1" ht="20.100000000000001" customHeight="1" x14ac:dyDescent="0.45">
      <c r="B19" s="130"/>
      <c r="C19" s="137" t="s">
        <v>193</v>
      </c>
      <c r="D19" s="138"/>
      <c r="E19" s="138"/>
      <c r="F19" s="138"/>
      <c r="G19" s="139"/>
      <c r="H19"/>
      <c r="I19"/>
    </row>
    <row r="20" spans="2:9" s="2" customFormat="1" ht="20.100000000000001" customHeight="1" x14ac:dyDescent="0.45">
      <c r="B20" s="130"/>
      <c r="C20" s="45" t="s">
        <v>194</v>
      </c>
      <c r="D20" s="42">
        <v>4</v>
      </c>
      <c r="E20" s="20" t="s">
        <v>39</v>
      </c>
      <c r="F20" s="99"/>
      <c r="G20" s="13"/>
      <c r="H20"/>
      <c r="I20"/>
    </row>
    <row r="21" spans="2:9" s="2" customFormat="1" ht="20.100000000000001" customHeight="1" x14ac:dyDescent="0.45">
      <c r="B21" s="130"/>
      <c r="C21" s="45" t="s">
        <v>195</v>
      </c>
      <c r="D21" s="42">
        <v>4</v>
      </c>
      <c r="E21" s="20" t="s">
        <v>39</v>
      </c>
      <c r="F21" s="99"/>
      <c r="G21" s="13"/>
      <c r="H21"/>
      <c r="I21"/>
    </row>
    <row r="22" spans="2:9" ht="20.100000000000001" customHeight="1" x14ac:dyDescent="0.45">
      <c r="B22" s="153"/>
      <c r="C22" s="137" t="s">
        <v>41</v>
      </c>
      <c r="D22" s="138"/>
      <c r="E22" s="138"/>
      <c r="F22" s="138"/>
      <c r="G22" s="139"/>
    </row>
    <row r="23" spans="2:9" ht="20.100000000000001" customHeight="1" x14ac:dyDescent="0.45">
      <c r="B23" s="153"/>
      <c r="C23" s="45" t="s">
        <v>86</v>
      </c>
      <c r="D23" s="20">
        <f>D20+D21</f>
        <v>8</v>
      </c>
      <c r="E23" s="20" t="s">
        <v>39</v>
      </c>
      <c r="F23" s="21"/>
      <c r="G23" s="21" t="s">
        <v>196</v>
      </c>
    </row>
    <row r="24" spans="2:9" ht="20.100000000000001" customHeight="1" x14ac:dyDescent="0.45">
      <c r="B24" s="153"/>
      <c r="C24" s="45" t="s">
        <v>87</v>
      </c>
      <c r="D24" s="42">
        <v>32</v>
      </c>
      <c r="E24" s="20" t="s">
        <v>39</v>
      </c>
      <c r="F24" s="21"/>
      <c r="G24" s="21" t="s">
        <v>205</v>
      </c>
    </row>
    <row r="25" spans="2:9" ht="20.100000000000001" customHeight="1" x14ac:dyDescent="0.45">
      <c r="B25" s="153"/>
      <c r="C25" s="45" t="s">
        <v>1</v>
      </c>
      <c r="D25" s="42">
        <v>2</v>
      </c>
      <c r="E25" s="20" t="s">
        <v>39</v>
      </c>
      <c r="F25" s="21"/>
      <c r="G25" s="21"/>
    </row>
    <row r="26" spans="2:9" ht="20.100000000000001" customHeight="1" x14ac:dyDescent="0.45">
      <c r="B26" s="153"/>
      <c r="C26" s="45" t="s">
        <v>45</v>
      </c>
      <c r="D26" s="42">
        <v>1</v>
      </c>
      <c r="E26" s="20" t="s">
        <v>39</v>
      </c>
      <c r="F26" s="21"/>
      <c r="G26" s="21"/>
    </row>
    <row r="27" spans="2:9" ht="20.100000000000001" customHeight="1" x14ac:dyDescent="0.45">
      <c r="B27" s="153"/>
      <c r="C27" s="45" t="s">
        <v>46</v>
      </c>
      <c r="D27" s="42">
        <v>2</v>
      </c>
      <c r="E27" s="20" t="s">
        <v>39</v>
      </c>
      <c r="F27" s="21"/>
      <c r="G27" s="21"/>
    </row>
    <row r="28" spans="2:9" ht="20.100000000000001" customHeight="1" x14ac:dyDescent="0.45">
      <c r="B28" s="153"/>
      <c r="C28" s="49" t="s">
        <v>40</v>
      </c>
      <c r="D28" s="50">
        <v>20</v>
      </c>
      <c r="E28" s="51" t="s">
        <v>44</v>
      </c>
      <c r="F28" s="40"/>
      <c r="G28" s="134" t="s">
        <v>202</v>
      </c>
    </row>
    <row r="29" spans="2:9" ht="20.100000000000001" customHeight="1" x14ac:dyDescent="0.45">
      <c r="B29" s="153"/>
      <c r="C29" s="141" t="s">
        <v>2</v>
      </c>
      <c r="D29" s="142"/>
      <c r="E29" s="142"/>
      <c r="F29" s="142"/>
      <c r="G29" s="143"/>
    </row>
    <row r="30" spans="2:9" ht="20.100000000000001" customHeight="1" x14ac:dyDescent="0.45">
      <c r="B30" s="154"/>
      <c r="C30" s="52" t="s">
        <v>2</v>
      </c>
      <c r="D30" s="53">
        <v>2</v>
      </c>
      <c r="E30" s="54" t="s">
        <v>39</v>
      </c>
      <c r="F30" s="41"/>
      <c r="G30" s="135" t="s">
        <v>206</v>
      </c>
    </row>
    <row r="31" spans="2:9" ht="20.100000000000001" customHeight="1" x14ac:dyDescent="0.45">
      <c r="B31" s="18"/>
      <c r="C31" s="16"/>
      <c r="D31" s="17"/>
      <c r="E31" s="15"/>
      <c r="F31" s="15"/>
      <c r="G31" s="15"/>
    </row>
    <row r="32" spans="2:9" ht="20.100000000000001" customHeight="1" x14ac:dyDescent="0.45">
      <c r="B32" s="27" t="s">
        <v>72</v>
      </c>
      <c r="C32" s="16"/>
      <c r="D32" s="17"/>
      <c r="E32" s="15"/>
      <c r="F32" s="15"/>
      <c r="G32" s="15"/>
    </row>
    <row r="33" spans="2:9" ht="20.100000000000001" customHeight="1" x14ac:dyDescent="0.45">
      <c r="B33" s="146" t="s">
        <v>36</v>
      </c>
      <c r="C33" s="146"/>
      <c r="D33" s="146"/>
      <c r="E33" s="146"/>
      <c r="F33" s="3" t="s">
        <v>55</v>
      </c>
      <c r="G33" s="3" t="s">
        <v>37</v>
      </c>
    </row>
    <row r="34" spans="2:9" ht="20.100000000000001" customHeight="1" x14ac:dyDescent="0.45">
      <c r="B34" s="155" t="s">
        <v>0</v>
      </c>
      <c r="C34" s="137" t="s">
        <v>41</v>
      </c>
      <c r="D34" s="138"/>
      <c r="E34" s="138"/>
      <c r="F34" s="138"/>
      <c r="G34" s="139"/>
      <c r="H34" s="14"/>
      <c r="I34" s="14"/>
    </row>
    <row r="35" spans="2:9" ht="20.100000000000001" customHeight="1" x14ac:dyDescent="0.45">
      <c r="B35" s="156"/>
      <c r="C35" s="46" t="s">
        <v>117</v>
      </c>
      <c r="D35" s="150" t="s">
        <v>123</v>
      </c>
      <c r="E35" s="151"/>
      <c r="F35" s="56">
        <f>SUM(詳細検討!G6:G10)</f>
        <v>3271000</v>
      </c>
      <c r="G35" s="19"/>
      <c r="H35" s="14"/>
      <c r="I35" s="14"/>
    </row>
    <row r="36" spans="2:9" ht="20.100000000000001" customHeight="1" x14ac:dyDescent="0.45">
      <c r="B36" s="156"/>
      <c r="C36" s="47" t="s">
        <v>119</v>
      </c>
      <c r="D36" s="150" t="s">
        <v>121</v>
      </c>
      <c r="E36" s="151"/>
      <c r="F36" s="58">
        <v>278200</v>
      </c>
      <c r="G36" s="19" t="s">
        <v>203</v>
      </c>
      <c r="H36" s="14"/>
      <c r="I36" s="14"/>
    </row>
    <row r="37" spans="2:9" ht="20.100000000000001" customHeight="1" x14ac:dyDescent="0.45">
      <c r="B37" s="156"/>
      <c r="C37" s="47" t="s">
        <v>47</v>
      </c>
      <c r="D37" s="150" t="s">
        <v>122</v>
      </c>
      <c r="E37" s="151"/>
      <c r="F37" s="58">
        <v>1187700</v>
      </c>
      <c r="G37" s="19" t="s">
        <v>48</v>
      </c>
      <c r="H37" s="14"/>
      <c r="I37" s="14"/>
    </row>
    <row r="38" spans="2:9" ht="20.100000000000001" customHeight="1" x14ac:dyDescent="0.45">
      <c r="B38" s="156"/>
      <c r="C38" s="137" t="s">
        <v>6</v>
      </c>
      <c r="D38" s="138"/>
      <c r="E38" s="138"/>
      <c r="F38" s="138"/>
      <c r="G38" s="139"/>
      <c r="H38" s="14"/>
      <c r="I38" s="14"/>
    </row>
    <row r="39" spans="2:9" ht="20.100000000000001" customHeight="1" x14ac:dyDescent="0.45">
      <c r="B39" s="156"/>
      <c r="C39" s="46" t="s">
        <v>117</v>
      </c>
      <c r="D39" s="150" t="s">
        <v>124</v>
      </c>
      <c r="E39" s="151"/>
      <c r="F39" s="57">
        <f>詳細検討!G11</f>
        <v>75600</v>
      </c>
      <c r="G39" s="19"/>
      <c r="H39" s="14"/>
      <c r="I39" s="14"/>
    </row>
    <row r="40" spans="2:9" ht="20.100000000000001" customHeight="1" x14ac:dyDescent="0.45">
      <c r="B40" s="156"/>
      <c r="C40" s="47" t="s">
        <v>120</v>
      </c>
      <c r="D40" s="150" t="s">
        <v>125</v>
      </c>
      <c r="E40" s="151"/>
      <c r="F40" s="57">
        <f>SUM(詳細検討!G12:G13)</f>
        <v>21000</v>
      </c>
      <c r="G40" s="19"/>
      <c r="H40" s="14"/>
      <c r="I40" s="14"/>
    </row>
    <row r="41" spans="2:9" ht="20.100000000000001" customHeight="1" x14ac:dyDescent="0.45">
      <c r="B41" s="157"/>
      <c r="C41" s="47" t="s">
        <v>47</v>
      </c>
      <c r="D41" s="150" t="s">
        <v>135</v>
      </c>
      <c r="E41" s="151"/>
      <c r="F41" s="61">
        <v>1000000</v>
      </c>
      <c r="G41" s="19" t="s">
        <v>48</v>
      </c>
      <c r="H41" s="14"/>
      <c r="I41" s="14"/>
    </row>
    <row r="42" spans="2:9" ht="20.100000000000001" customHeight="1" x14ac:dyDescent="0.45">
      <c r="B42" s="144" t="s">
        <v>5</v>
      </c>
      <c r="C42" s="144"/>
      <c r="D42" s="144"/>
      <c r="E42" s="144"/>
      <c r="F42" s="59">
        <f>SUM(F35:F37,F39:F41)</f>
        <v>5833500</v>
      </c>
      <c r="G42" s="19" t="s">
        <v>76</v>
      </c>
      <c r="H42" s="15"/>
      <c r="I42" s="15"/>
    </row>
    <row r="43" spans="2:9" ht="20.100000000000001" customHeight="1" x14ac:dyDescent="0.45">
      <c r="B43" s="9"/>
      <c r="C43" s="26"/>
      <c r="D43" s="24"/>
      <c r="E43" s="17"/>
      <c r="F43" s="17"/>
      <c r="G43" s="25"/>
      <c r="H43" s="15"/>
      <c r="I43" s="15"/>
    </row>
    <row r="44" spans="2:9" s="2" customFormat="1" ht="20.100000000000001" customHeight="1" x14ac:dyDescent="0.45">
      <c r="B44" s="146" t="s">
        <v>36</v>
      </c>
      <c r="C44" s="146"/>
      <c r="D44" s="20" t="s">
        <v>43</v>
      </c>
      <c r="E44" s="20" t="s">
        <v>33</v>
      </c>
      <c r="F44" s="20" t="s">
        <v>55</v>
      </c>
      <c r="G44" s="20" t="s">
        <v>37</v>
      </c>
      <c r="H44" s="17"/>
      <c r="I44" s="17"/>
    </row>
    <row r="45" spans="2:9" ht="20.100000000000001" customHeight="1" x14ac:dyDescent="0.45">
      <c r="B45" s="152" t="s">
        <v>4</v>
      </c>
      <c r="C45" s="29" t="s">
        <v>49</v>
      </c>
      <c r="D45" s="31"/>
      <c r="E45" s="32"/>
      <c r="F45" s="32"/>
      <c r="G45" s="30"/>
      <c r="H45" s="15"/>
      <c r="I45" s="15"/>
    </row>
    <row r="46" spans="2:9" ht="20.100000000000001" customHeight="1" x14ac:dyDescent="0.45">
      <c r="B46" s="152"/>
      <c r="C46" s="55" t="s">
        <v>52</v>
      </c>
      <c r="D46" s="20" t="s">
        <v>126</v>
      </c>
      <c r="E46" s="20" t="s">
        <v>126</v>
      </c>
      <c r="F46" s="56">
        <f>SUM(詳細検討!G30:G32)</f>
        <v>352800</v>
      </c>
      <c r="G46" s="21"/>
      <c r="H46" s="15"/>
      <c r="I46" s="15"/>
    </row>
    <row r="47" spans="2:9" ht="20.100000000000001" customHeight="1" x14ac:dyDescent="0.45">
      <c r="B47" s="152"/>
      <c r="C47" s="48" t="s">
        <v>127</v>
      </c>
      <c r="D47" s="20">
        <f>詳細検討!F6</f>
        <v>8</v>
      </c>
      <c r="E47" s="20" t="s">
        <v>128</v>
      </c>
      <c r="F47" s="56">
        <f>詳細検討!G37</f>
        <v>100000</v>
      </c>
      <c r="G47" s="21" t="s">
        <v>133</v>
      </c>
      <c r="H47" s="15"/>
      <c r="I47" s="15"/>
    </row>
    <row r="48" spans="2:9" ht="20.100000000000001" customHeight="1" x14ac:dyDescent="0.45">
      <c r="B48" s="152"/>
      <c r="C48" s="48" t="s">
        <v>50</v>
      </c>
      <c r="D48" s="20"/>
      <c r="E48" s="20" t="s">
        <v>129</v>
      </c>
      <c r="F48" s="56">
        <f>SUM(詳細検討!G34:G35)</f>
        <v>27200</v>
      </c>
      <c r="G48" s="21" t="s">
        <v>54</v>
      </c>
      <c r="H48" s="15"/>
      <c r="I48" s="15"/>
    </row>
    <row r="49" spans="2:9" ht="36" x14ac:dyDescent="0.45">
      <c r="B49" s="152"/>
      <c r="C49" s="10" t="s">
        <v>51</v>
      </c>
      <c r="D49" s="20">
        <v>4</v>
      </c>
      <c r="E49" s="20" t="s">
        <v>73</v>
      </c>
      <c r="F49" s="56">
        <f>詳細検討!G36</f>
        <v>79600</v>
      </c>
      <c r="G49" s="22" t="s">
        <v>74</v>
      </c>
      <c r="H49" s="15"/>
      <c r="I49" s="15"/>
    </row>
    <row r="50" spans="2:9" ht="20.100000000000001" customHeight="1" x14ac:dyDescent="0.45">
      <c r="B50" s="152"/>
      <c r="C50" s="29" t="s">
        <v>6</v>
      </c>
      <c r="D50" s="34"/>
      <c r="E50" s="34"/>
      <c r="F50" s="34"/>
      <c r="G50" s="33"/>
      <c r="H50" s="16"/>
      <c r="I50" s="16"/>
    </row>
    <row r="51" spans="2:9" ht="20.100000000000001" customHeight="1" x14ac:dyDescent="0.45">
      <c r="B51" s="152"/>
      <c r="C51" s="28" t="s">
        <v>53</v>
      </c>
      <c r="D51" s="20" t="s">
        <v>126</v>
      </c>
      <c r="E51" s="20" t="s">
        <v>126</v>
      </c>
      <c r="F51" s="57">
        <f>SUM(詳細検討!G38:G39)</f>
        <v>156800</v>
      </c>
      <c r="G51" s="4"/>
    </row>
    <row r="52" spans="2:9" ht="20.100000000000001" customHeight="1" x14ac:dyDescent="0.45">
      <c r="B52" s="144" t="s">
        <v>5</v>
      </c>
      <c r="C52" s="144"/>
      <c r="D52" s="144"/>
      <c r="E52" s="144"/>
      <c r="F52" s="59">
        <f>SUM(F46:F49,F51)</f>
        <v>716400</v>
      </c>
      <c r="G52" s="4" t="s">
        <v>75</v>
      </c>
    </row>
    <row r="53" spans="2:9" ht="20.100000000000001" customHeight="1" x14ac:dyDescent="0.45">
      <c r="B53" s="2"/>
      <c r="C53" s="1"/>
      <c r="D53" s="1"/>
    </row>
    <row r="54" spans="2:9" ht="20.100000000000001" customHeight="1" x14ac:dyDescent="0.45">
      <c r="B54" s="140" t="s">
        <v>36</v>
      </c>
      <c r="C54" s="140"/>
      <c r="D54" s="127" t="s">
        <v>43</v>
      </c>
      <c r="E54" s="125" t="s">
        <v>33</v>
      </c>
      <c r="F54" s="125" t="s">
        <v>35</v>
      </c>
      <c r="G54" s="125" t="s">
        <v>37</v>
      </c>
    </row>
    <row r="55" spans="2:9" ht="20.100000000000001" customHeight="1" x14ac:dyDescent="0.45">
      <c r="B55" s="147" t="s">
        <v>7</v>
      </c>
      <c r="C55" s="141" t="s">
        <v>204</v>
      </c>
      <c r="D55" s="142"/>
      <c r="E55" s="142"/>
      <c r="F55" s="142"/>
      <c r="G55" s="143"/>
    </row>
    <row r="56" spans="2:9" ht="20.100000000000001" customHeight="1" x14ac:dyDescent="0.45">
      <c r="B56" s="148"/>
      <c r="C56" s="28" t="s">
        <v>57</v>
      </c>
      <c r="D56" s="127">
        <v>12</v>
      </c>
      <c r="E56" s="125" t="s">
        <v>8</v>
      </c>
      <c r="F56" s="20" t="s">
        <v>126</v>
      </c>
      <c r="G56" s="4" t="s">
        <v>77</v>
      </c>
    </row>
    <row r="57" spans="2:9" ht="20.100000000000001" customHeight="1" x14ac:dyDescent="0.45">
      <c r="B57" s="148"/>
      <c r="C57" s="28" t="s">
        <v>58</v>
      </c>
      <c r="D57" s="20" t="s">
        <v>126</v>
      </c>
      <c r="E57" s="125" t="s">
        <v>21</v>
      </c>
      <c r="F57" s="57">
        <f>詳細検討!G48</f>
        <v>1782400</v>
      </c>
      <c r="G57" s="4" t="s">
        <v>78</v>
      </c>
    </row>
    <row r="58" spans="2:9" ht="36" x14ac:dyDescent="0.45">
      <c r="B58" s="148"/>
      <c r="C58" s="28" t="s">
        <v>9</v>
      </c>
      <c r="D58" s="23">
        <v>0.08</v>
      </c>
      <c r="E58" s="125" t="s">
        <v>10</v>
      </c>
      <c r="F58" s="20" t="s">
        <v>126</v>
      </c>
      <c r="G58" s="28" t="s">
        <v>79</v>
      </c>
    </row>
    <row r="59" spans="2:9" ht="36" x14ac:dyDescent="0.45">
      <c r="B59" s="148"/>
      <c r="C59" s="28" t="s">
        <v>12</v>
      </c>
      <c r="D59" s="23">
        <f>ROUNDUP(D58*D23,0)</f>
        <v>1</v>
      </c>
      <c r="E59" s="125" t="s">
        <v>39</v>
      </c>
      <c r="F59" s="20" t="s">
        <v>126</v>
      </c>
      <c r="G59" s="28" t="s">
        <v>80</v>
      </c>
    </row>
    <row r="60" spans="2:9" ht="20.100000000000001" customHeight="1" x14ac:dyDescent="0.45">
      <c r="B60" s="148"/>
      <c r="C60" s="28" t="s">
        <v>11</v>
      </c>
      <c r="D60" s="127">
        <f>D59*4</f>
        <v>4</v>
      </c>
      <c r="E60" s="125" t="s">
        <v>56</v>
      </c>
      <c r="F60" s="20" t="s">
        <v>126</v>
      </c>
      <c r="G60" s="4" t="s">
        <v>81</v>
      </c>
    </row>
    <row r="61" spans="2:9" ht="20.100000000000001" customHeight="1" x14ac:dyDescent="0.45">
      <c r="B61" s="148"/>
      <c r="C61" s="28" t="s">
        <v>70</v>
      </c>
      <c r="D61" s="44">
        <v>1</v>
      </c>
      <c r="E61" s="125" t="s">
        <v>71</v>
      </c>
      <c r="F61" s="20" t="s">
        <v>126</v>
      </c>
      <c r="G61" s="4" t="s">
        <v>82</v>
      </c>
    </row>
    <row r="62" spans="2:9" ht="90" x14ac:dyDescent="0.45">
      <c r="B62" s="148"/>
      <c r="C62" s="28" t="s">
        <v>13</v>
      </c>
      <c r="D62" s="20" t="s">
        <v>126</v>
      </c>
      <c r="E62" s="125" t="s">
        <v>23</v>
      </c>
      <c r="F62" s="57">
        <f>F57*ROUNDUP(D60/D56,0)*D61</f>
        <v>1782400</v>
      </c>
      <c r="G62" s="28" t="s">
        <v>83</v>
      </c>
    </row>
    <row r="63" spans="2:9" ht="20.100000000000001" customHeight="1" x14ac:dyDescent="0.45">
      <c r="B63" s="148"/>
      <c r="C63" s="29" t="s">
        <v>14</v>
      </c>
      <c r="D63" s="36"/>
      <c r="E63" s="32"/>
      <c r="F63" s="32"/>
      <c r="G63" s="30"/>
    </row>
    <row r="64" spans="2:9" ht="20.100000000000001" customHeight="1" x14ac:dyDescent="0.45">
      <c r="B64" s="148"/>
      <c r="C64" s="28" t="s">
        <v>60</v>
      </c>
      <c r="D64" s="39">
        <v>10</v>
      </c>
      <c r="E64" s="125" t="s">
        <v>62</v>
      </c>
      <c r="F64" s="20" t="s">
        <v>126</v>
      </c>
      <c r="G64" s="35" t="s">
        <v>63</v>
      </c>
    </row>
    <row r="65" spans="2:7" ht="20.100000000000001" customHeight="1" x14ac:dyDescent="0.45">
      <c r="B65" s="148"/>
      <c r="C65" s="28" t="s">
        <v>61</v>
      </c>
      <c r="D65" s="39">
        <v>1</v>
      </c>
      <c r="E65" s="125" t="s">
        <v>62</v>
      </c>
      <c r="F65" s="20" t="s">
        <v>126</v>
      </c>
      <c r="G65" s="35" t="s">
        <v>200</v>
      </c>
    </row>
    <row r="66" spans="2:7" ht="20.100000000000001" customHeight="1" x14ac:dyDescent="0.45">
      <c r="B66" s="148"/>
      <c r="C66" s="28" t="s">
        <v>15</v>
      </c>
      <c r="D66" s="127">
        <f>IF(ISERROR(D65/D64),0.1,D65/D64)*100</f>
        <v>10</v>
      </c>
      <c r="E66" s="125" t="s">
        <v>16</v>
      </c>
      <c r="F66" s="20" t="s">
        <v>126</v>
      </c>
      <c r="G66" s="128" t="s">
        <v>154</v>
      </c>
    </row>
    <row r="67" spans="2:7" ht="20.100000000000001" customHeight="1" x14ac:dyDescent="0.45">
      <c r="B67" s="148"/>
      <c r="C67" s="28" t="s">
        <v>197</v>
      </c>
      <c r="D67" s="20" t="s">
        <v>126</v>
      </c>
      <c r="E67" s="125" t="s">
        <v>17</v>
      </c>
      <c r="F67" s="60">
        <v>129000</v>
      </c>
      <c r="G67" s="4" t="s">
        <v>65</v>
      </c>
    </row>
    <row r="68" spans="2:7" ht="20.100000000000001" customHeight="1" x14ac:dyDescent="0.45">
      <c r="B68" s="148"/>
      <c r="C68" s="28" t="s">
        <v>198</v>
      </c>
      <c r="D68" s="20" t="s">
        <v>118</v>
      </c>
      <c r="E68" s="129" t="s">
        <v>17</v>
      </c>
      <c r="F68" s="60">
        <v>114000</v>
      </c>
      <c r="G68" s="4" t="s">
        <v>199</v>
      </c>
    </row>
    <row r="69" spans="2:7" ht="20.100000000000001" customHeight="1" x14ac:dyDescent="0.45">
      <c r="B69" s="148"/>
      <c r="C69" s="28" t="s">
        <v>64</v>
      </c>
      <c r="D69" s="20" t="s">
        <v>126</v>
      </c>
      <c r="E69" s="125" t="s">
        <v>59</v>
      </c>
      <c r="F69" s="57">
        <f>詳細検討!G61</f>
        <v>97200</v>
      </c>
      <c r="G69" s="4" t="s">
        <v>66</v>
      </c>
    </row>
    <row r="70" spans="2:7" ht="20.100000000000001" customHeight="1" x14ac:dyDescent="0.45">
      <c r="B70" s="148"/>
      <c r="C70" s="29" t="s">
        <v>18</v>
      </c>
      <c r="D70" s="36"/>
      <c r="E70" s="32"/>
      <c r="F70" s="32"/>
      <c r="G70" s="30"/>
    </row>
    <row r="71" spans="2:7" ht="20.100000000000001" customHeight="1" x14ac:dyDescent="0.45">
      <c r="B71" s="148"/>
      <c r="C71" s="136" t="s">
        <v>201</v>
      </c>
      <c r="D71" s="43">
        <v>1.43</v>
      </c>
      <c r="E71" s="125" t="s">
        <v>19</v>
      </c>
      <c r="F71" s="20" t="s">
        <v>126</v>
      </c>
      <c r="G71" s="4" t="s">
        <v>157</v>
      </c>
    </row>
    <row r="72" spans="2:7" ht="36" x14ac:dyDescent="0.45">
      <c r="B72" s="148"/>
      <c r="C72" s="28" t="s">
        <v>38</v>
      </c>
      <c r="D72" s="127">
        <v>10</v>
      </c>
      <c r="E72" s="125" t="s">
        <v>10</v>
      </c>
      <c r="F72" s="20" t="s">
        <v>126</v>
      </c>
      <c r="G72" s="4" t="s">
        <v>68</v>
      </c>
    </row>
    <row r="73" spans="2:7" ht="20.100000000000001" customHeight="1" x14ac:dyDescent="0.45">
      <c r="B73" s="148"/>
      <c r="C73" s="28" t="s">
        <v>20</v>
      </c>
      <c r="D73" s="100">
        <v>19900</v>
      </c>
      <c r="E73" s="125" t="s">
        <v>67</v>
      </c>
      <c r="F73" s="20" t="s">
        <v>126</v>
      </c>
      <c r="G73" s="4" t="s">
        <v>69</v>
      </c>
    </row>
    <row r="74" spans="2:7" ht="20.100000000000001" customHeight="1" x14ac:dyDescent="0.45">
      <c r="B74" s="149"/>
      <c r="C74" s="28" t="s">
        <v>22</v>
      </c>
      <c r="D74" s="20" t="s">
        <v>126</v>
      </c>
      <c r="E74" s="125" t="s">
        <v>23</v>
      </c>
      <c r="F74" s="57">
        <f>詳細検討!G68</f>
        <v>129900</v>
      </c>
      <c r="G74" s="4" t="s">
        <v>159</v>
      </c>
    </row>
    <row r="75" spans="2:7" ht="20.100000000000001" customHeight="1" x14ac:dyDescent="0.45">
      <c r="B75" s="145" t="s">
        <v>5</v>
      </c>
      <c r="C75" s="145"/>
      <c r="D75" s="145"/>
      <c r="E75" s="145"/>
      <c r="F75" s="59">
        <f>F62+F69+F74</f>
        <v>2009500</v>
      </c>
      <c r="G75" s="4" t="s">
        <v>84</v>
      </c>
    </row>
    <row r="76" spans="2:7" ht="20.100000000000001" customHeight="1" x14ac:dyDescent="0.45">
      <c r="E76"/>
      <c r="F76"/>
    </row>
    <row r="77" spans="2:7" ht="20.100000000000001" customHeight="1" x14ac:dyDescent="0.45">
      <c r="B77" s="144" t="s">
        <v>24</v>
      </c>
      <c r="C77" s="144"/>
      <c r="D77" s="144"/>
      <c r="E77" s="144"/>
      <c r="F77" s="126">
        <f>ROUND(F42/(F75-F52),1)</f>
        <v>4.5</v>
      </c>
      <c r="G77" s="4" t="s">
        <v>85</v>
      </c>
    </row>
  </sheetData>
  <mergeCells count="24">
    <mergeCell ref="C55:G55"/>
    <mergeCell ref="B34:B41"/>
    <mergeCell ref="C34:G34"/>
    <mergeCell ref="C38:G38"/>
    <mergeCell ref="D37:E37"/>
    <mergeCell ref="D36:E36"/>
    <mergeCell ref="D39:E39"/>
    <mergeCell ref="D35:E35"/>
    <mergeCell ref="C19:G19"/>
    <mergeCell ref="B18:C18"/>
    <mergeCell ref="C22:G22"/>
    <mergeCell ref="C29:G29"/>
    <mergeCell ref="B77:E77"/>
    <mergeCell ref="B54:C54"/>
    <mergeCell ref="B75:E75"/>
    <mergeCell ref="B33:E33"/>
    <mergeCell ref="B52:E52"/>
    <mergeCell ref="B55:B74"/>
    <mergeCell ref="B44:C44"/>
    <mergeCell ref="D41:E41"/>
    <mergeCell ref="B45:B51"/>
    <mergeCell ref="B42:E42"/>
    <mergeCell ref="D40:E40"/>
    <mergeCell ref="B22:B30"/>
  </mergeCells>
  <phoneticPr fontId="1"/>
  <pageMargins left="0.51181102362204722" right="0.31496062992125984" top="0.55118110236220474" bottom="0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3"/>
  <sheetViews>
    <sheetView view="pageBreakPreview" topLeftCell="A52" zoomScaleNormal="100" zoomScaleSheetLayoutView="100" workbookViewId="0">
      <selection activeCell="G61" sqref="G61"/>
    </sheetView>
  </sheetViews>
  <sheetFormatPr defaultColWidth="9" defaultRowHeight="16.2" x14ac:dyDescent="0.45"/>
  <cols>
    <col min="1" max="1" width="2.296875" style="62" bestFit="1" customWidth="1"/>
    <col min="2" max="2" width="17.69921875" style="62" customWidth="1"/>
    <col min="3" max="3" width="20.5" style="62" customWidth="1"/>
    <col min="4" max="4" width="38.5" style="62" customWidth="1"/>
    <col min="5" max="5" width="10.19921875" style="62" bestFit="1" customWidth="1"/>
    <col min="6" max="6" width="5" style="62" bestFit="1" customWidth="1"/>
    <col min="7" max="7" width="13" style="62" customWidth="1"/>
    <col min="8" max="8" width="41.296875" style="62" bestFit="1" customWidth="1"/>
    <col min="9" max="9" width="3.19921875" style="62" customWidth="1"/>
    <col min="10" max="10" width="29.59765625" style="62" bestFit="1" customWidth="1"/>
    <col min="11" max="16384" width="9" style="62"/>
  </cols>
  <sheetData>
    <row r="1" spans="2:8" ht="20.100000000000001" customHeight="1" x14ac:dyDescent="0.45"/>
    <row r="2" spans="2:8" ht="20.100000000000001" customHeight="1" x14ac:dyDescent="0.45">
      <c r="B2" s="62" t="s">
        <v>27</v>
      </c>
    </row>
    <row r="3" spans="2:8" ht="20.100000000000001" customHeight="1" x14ac:dyDescent="0.45"/>
    <row r="4" spans="2:8" ht="20.100000000000001" customHeight="1" x14ac:dyDescent="0.45">
      <c r="B4" s="62" t="s">
        <v>104</v>
      </c>
      <c r="C4" s="63" t="s">
        <v>96</v>
      </c>
    </row>
    <row r="5" spans="2:8" ht="20.100000000000001" customHeight="1" x14ac:dyDescent="0.45">
      <c r="B5" s="105"/>
      <c r="C5" s="64" t="s">
        <v>97</v>
      </c>
      <c r="D5" s="65" t="s">
        <v>94</v>
      </c>
      <c r="E5" s="65" t="s">
        <v>3</v>
      </c>
      <c r="F5" s="65" t="s">
        <v>43</v>
      </c>
      <c r="G5" s="65" t="s">
        <v>93</v>
      </c>
      <c r="H5" s="65" t="s">
        <v>95</v>
      </c>
    </row>
    <row r="6" spans="2:8" ht="20.100000000000001" customHeight="1" x14ac:dyDescent="0.45">
      <c r="B6" s="63"/>
      <c r="C6" s="159" t="s">
        <v>101</v>
      </c>
      <c r="D6" s="66" t="s">
        <v>86</v>
      </c>
      <c r="E6" s="67">
        <v>45000</v>
      </c>
      <c r="F6" s="75">
        <f>回収年!D23</f>
        <v>8</v>
      </c>
      <c r="G6" s="68">
        <f t="shared" ref="G6:G13" si="0">E6*F6</f>
        <v>360000</v>
      </c>
      <c r="H6" s="66"/>
    </row>
    <row r="7" spans="2:8" ht="20.100000000000001" customHeight="1" x14ac:dyDescent="0.45">
      <c r="B7" s="63"/>
      <c r="C7" s="162"/>
      <c r="D7" s="66" t="s">
        <v>87</v>
      </c>
      <c r="E7" s="67">
        <v>76000</v>
      </c>
      <c r="F7" s="75">
        <f>回収年!D24</f>
        <v>32</v>
      </c>
      <c r="G7" s="68">
        <f t="shared" si="0"/>
        <v>2432000</v>
      </c>
      <c r="H7" s="66"/>
    </row>
    <row r="8" spans="2:8" ht="20.100000000000001" customHeight="1" x14ac:dyDescent="0.45">
      <c r="B8" s="63"/>
      <c r="C8" s="162"/>
      <c r="D8" s="66" t="s">
        <v>1</v>
      </c>
      <c r="E8" s="67">
        <v>132000</v>
      </c>
      <c r="F8" s="75">
        <f>回収年!D25</f>
        <v>2</v>
      </c>
      <c r="G8" s="68">
        <f t="shared" si="0"/>
        <v>264000</v>
      </c>
      <c r="H8" s="66"/>
    </row>
    <row r="9" spans="2:8" ht="20.100000000000001" customHeight="1" x14ac:dyDescent="0.45">
      <c r="B9" s="63"/>
      <c r="C9" s="162"/>
      <c r="D9" s="66" t="s">
        <v>45</v>
      </c>
      <c r="E9" s="67">
        <v>63000</v>
      </c>
      <c r="F9" s="75">
        <f>回収年!D26</f>
        <v>1</v>
      </c>
      <c r="G9" s="68">
        <f t="shared" si="0"/>
        <v>63000</v>
      </c>
      <c r="H9" s="66"/>
    </row>
    <row r="10" spans="2:8" ht="20.100000000000001" customHeight="1" x14ac:dyDescent="0.45">
      <c r="B10" s="63"/>
      <c r="C10" s="163"/>
      <c r="D10" s="69" t="s">
        <v>46</v>
      </c>
      <c r="E10" s="70">
        <v>76000</v>
      </c>
      <c r="F10" s="75">
        <f>回収年!D27</f>
        <v>2</v>
      </c>
      <c r="G10" s="68">
        <f t="shared" si="0"/>
        <v>152000</v>
      </c>
      <c r="H10" s="69"/>
    </row>
    <row r="11" spans="2:8" ht="20.100000000000001" customHeight="1" x14ac:dyDescent="0.45">
      <c r="C11" s="159" t="s">
        <v>98</v>
      </c>
      <c r="D11" s="71" t="s">
        <v>88</v>
      </c>
      <c r="E11" s="72">
        <v>37800</v>
      </c>
      <c r="F11" s="71">
        <f>回収年!D30</f>
        <v>2</v>
      </c>
      <c r="G11" s="73">
        <f t="shared" si="0"/>
        <v>75600</v>
      </c>
      <c r="H11" s="74"/>
    </row>
    <row r="12" spans="2:8" ht="20.100000000000001" customHeight="1" x14ac:dyDescent="0.45">
      <c r="B12" s="63"/>
      <c r="C12" s="162"/>
      <c r="D12" s="75" t="s">
        <v>99</v>
      </c>
      <c r="E12" s="67">
        <v>7500</v>
      </c>
      <c r="F12" s="75">
        <f>回収年!D30</f>
        <v>2</v>
      </c>
      <c r="G12" s="68">
        <f t="shared" si="0"/>
        <v>15000</v>
      </c>
      <c r="H12" s="66"/>
    </row>
    <row r="13" spans="2:8" ht="20.100000000000001" customHeight="1" x14ac:dyDescent="0.45">
      <c r="B13" s="63"/>
      <c r="C13" s="163"/>
      <c r="D13" s="76" t="s">
        <v>89</v>
      </c>
      <c r="E13" s="70">
        <v>3000</v>
      </c>
      <c r="F13" s="76">
        <f>回収年!D30</f>
        <v>2</v>
      </c>
      <c r="G13" s="77">
        <f t="shared" si="0"/>
        <v>6000</v>
      </c>
      <c r="H13" s="69"/>
    </row>
    <row r="14" spans="2:8" ht="20.100000000000001" customHeight="1" x14ac:dyDescent="0.45">
      <c r="B14" s="63"/>
      <c r="C14" s="158" t="s">
        <v>92</v>
      </c>
      <c r="D14" s="158"/>
      <c r="E14" s="78"/>
      <c r="F14" s="79"/>
      <c r="G14" s="107">
        <f>SUM(G6:G13)</f>
        <v>3367600</v>
      </c>
      <c r="H14" s="79"/>
    </row>
    <row r="15" spans="2:8" s="79" customFormat="1" ht="20.100000000000001" customHeight="1" x14ac:dyDescent="0.45">
      <c r="B15" s="63"/>
      <c r="C15" s="63"/>
      <c r="E15" s="78"/>
      <c r="G15" s="80"/>
    </row>
    <row r="16" spans="2:8" s="79" customFormat="1" ht="20.100000000000001" customHeight="1" x14ac:dyDescent="0.45">
      <c r="C16" s="81" t="s">
        <v>100</v>
      </c>
      <c r="E16" s="78"/>
      <c r="G16" s="80"/>
    </row>
    <row r="17" spans="2:9" s="79" customFormat="1" ht="20.100000000000001" customHeight="1" x14ac:dyDescent="0.45">
      <c r="B17" s="63"/>
      <c r="C17" s="64" t="s">
        <v>97</v>
      </c>
      <c r="D17" s="65" t="s">
        <v>94</v>
      </c>
      <c r="E17" s="65" t="s">
        <v>3</v>
      </c>
      <c r="F17" s="65" t="s">
        <v>43</v>
      </c>
      <c r="G17" s="65" t="s">
        <v>93</v>
      </c>
      <c r="H17" s="65" t="s">
        <v>95</v>
      </c>
    </row>
    <row r="18" spans="2:9" s="79" customFormat="1" ht="20.100000000000001" customHeight="1" x14ac:dyDescent="0.45">
      <c r="B18" s="63"/>
      <c r="C18" s="64" t="s">
        <v>41</v>
      </c>
      <c r="D18" s="90" t="s">
        <v>174</v>
      </c>
      <c r="E18" s="70">
        <f>回収年!F36</f>
        <v>278200</v>
      </c>
      <c r="F18" s="90">
        <v>1</v>
      </c>
      <c r="G18" s="77">
        <f>E18*F18</f>
        <v>278200</v>
      </c>
      <c r="H18" s="102" t="s">
        <v>116</v>
      </c>
    </row>
    <row r="19" spans="2:9" ht="20.100000000000001" customHeight="1" x14ac:dyDescent="0.45">
      <c r="B19" s="63"/>
      <c r="C19" s="158" t="s">
        <v>92</v>
      </c>
      <c r="D19" s="158"/>
      <c r="E19" s="78"/>
      <c r="F19" s="79"/>
      <c r="G19" s="107">
        <f>SUM(G18)</f>
        <v>278200</v>
      </c>
      <c r="H19" s="104"/>
    </row>
    <row r="20" spans="2:9" ht="20.100000000000001" customHeight="1" x14ac:dyDescent="0.45">
      <c r="B20" s="63"/>
      <c r="C20" s="63"/>
      <c r="D20" s="79"/>
      <c r="E20" s="78"/>
      <c r="F20" s="79"/>
      <c r="G20" s="80"/>
      <c r="H20" s="79"/>
    </row>
    <row r="21" spans="2:9" ht="20.100000000000001" customHeight="1" x14ac:dyDescent="0.45">
      <c r="B21" s="63"/>
      <c r="C21" s="79" t="s">
        <v>102</v>
      </c>
      <c r="D21" s="79"/>
      <c r="E21" s="79"/>
      <c r="F21" s="79"/>
      <c r="G21" s="79"/>
      <c r="H21" s="79"/>
      <c r="I21" s="79"/>
    </row>
    <row r="22" spans="2:9" ht="20.100000000000001" customHeight="1" x14ac:dyDescent="0.45">
      <c r="B22" s="63"/>
      <c r="C22" s="64" t="s">
        <v>97</v>
      </c>
      <c r="D22" s="65" t="s">
        <v>94</v>
      </c>
      <c r="E22" s="65" t="s">
        <v>3</v>
      </c>
      <c r="F22" s="65" t="s">
        <v>43</v>
      </c>
      <c r="G22" s="65" t="s">
        <v>93</v>
      </c>
      <c r="H22" s="65" t="s">
        <v>95</v>
      </c>
      <c r="I22" s="79"/>
    </row>
    <row r="23" spans="2:9" ht="20.100000000000001" customHeight="1" x14ac:dyDescent="0.45">
      <c r="B23" s="63"/>
      <c r="C23" s="64" t="s">
        <v>41</v>
      </c>
      <c r="D23" s="90" t="s">
        <v>136</v>
      </c>
      <c r="E23" s="70">
        <f>回収年!F37</f>
        <v>1187700</v>
      </c>
      <c r="F23" s="90">
        <v>1</v>
      </c>
      <c r="G23" s="77">
        <f>E23*F23</f>
        <v>1187700</v>
      </c>
      <c r="H23" s="102" t="s">
        <v>116</v>
      </c>
      <c r="I23" s="79"/>
    </row>
    <row r="24" spans="2:9" ht="20.100000000000001" customHeight="1" x14ac:dyDescent="0.45">
      <c r="B24" s="63"/>
      <c r="C24" s="82" t="s">
        <v>103</v>
      </c>
      <c r="D24" s="76" t="s">
        <v>90</v>
      </c>
      <c r="E24" s="91">
        <f>回収年!F41</f>
        <v>1000000</v>
      </c>
      <c r="F24" s="69">
        <v>1</v>
      </c>
      <c r="G24" s="77">
        <f>E24*F24</f>
        <v>1000000</v>
      </c>
      <c r="H24" s="103" t="s">
        <v>116</v>
      </c>
    </row>
    <row r="25" spans="2:9" ht="20.100000000000001" customHeight="1" x14ac:dyDescent="0.45">
      <c r="B25" s="63"/>
      <c r="C25" s="158" t="s">
        <v>92</v>
      </c>
      <c r="D25" s="158"/>
      <c r="E25" s="78"/>
      <c r="F25" s="79"/>
      <c r="G25" s="107">
        <f>SUM(G23:G24)</f>
        <v>2187700</v>
      </c>
      <c r="H25" s="79"/>
    </row>
    <row r="26" spans="2:9" ht="20.100000000000001" customHeight="1" x14ac:dyDescent="0.45">
      <c r="D26" s="79"/>
      <c r="E26" s="78"/>
      <c r="F26" s="79"/>
      <c r="G26" s="80"/>
      <c r="H26" s="79"/>
    </row>
    <row r="27" spans="2:9" ht="20.100000000000001" customHeight="1" x14ac:dyDescent="0.45">
      <c r="D27" s="79"/>
      <c r="E27" s="78"/>
      <c r="F27" s="79"/>
      <c r="G27" s="80"/>
      <c r="H27" s="79"/>
    </row>
    <row r="28" spans="2:9" ht="20.100000000000001" customHeight="1" x14ac:dyDescent="0.45">
      <c r="B28" s="62" t="s">
        <v>105</v>
      </c>
      <c r="C28" s="64" t="s">
        <v>97</v>
      </c>
      <c r="D28" s="65" t="s">
        <v>94</v>
      </c>
      <c r="E28" s="65" t="s">
        <v>3</v>
      </c>
      <c r="F28" s="65" t="s">
        <v>43</v>
      </c>
      <c r="G28" s="65" t="s">
        <v>93</v>
      </c>
      <c r="H28" s="65" t="s">
        <v>95</v>
      </c>
    </row>
    <row r="29" spans="2:9" ht="20.100000000000001" customHeight="1" x14ac:dyDescent="0.45">
      <c r="C29" s="159" t="s">
        <v>101</v>
      </c>
      <c r="D29" s="74" t="s">
        <v>109</v>
      </c>
      <c r="E29" s="72"/>
      <c r="F29" s="74"/>
      <c r="G29" s="73"/>
      <c r="H29" s="74"/>
    </row>
    <row r="30" spans="2:9" ht="20.100000000000001" customHeight="1" x14ac:dyDescent="0.45">
      <c r="C30" s="160"/>
      <c r="D30" s="66" t="s">
        <v>106</v>
      </c>
      <c r="E30" s="67">
        <v>82800</v>
      </c>
      <c r="F30" s="75">
        <f>回収年!D25</f>
        <v>2</v>
      </c>
      <c r="G30" s="68">
        <f t="shared" ref="G30:G32" si="1">E30*F30</f>
        <v>165600</v>
      </c>
      <c r="H30" s="66"/>
    </row>
    <row r="31" spans="2:9" ht="20.100000000000001" customHeight="1" x14ac:dyDescent="0.45">
      <c r="C31" s="160"/>
      <c r="D31" s="75" t="s">
        <v>107</v>
      </c>
      <c r="E31" s="67">
        <v>1800</v>
      </c>
      <c r="F31" s="75">
        <f>回収年!D23</f>
        <v>8</v>
      </c>
      <c r="G31" s="68">
        <f t="shared" si="1"/>
        <v>14400</v>
      </c>
      <c r="H31" s="66"/>
    </row>
    <row r="32" spans="2:9" ht="20.100000000000001" customHeight="1" x14ac:dyDescent="0.45">
      <c r="C32" s="160"/>
      <c r="D32" s="75" t="s">
        <v>108</v>
      </c>
      <c r="E32" s="67">
        <v>5400</v>
      </c>
      <c r="F32" s="75">
        <f>回収年!D24</f>
        <v>32</v>
      </c>
      <c r="G32" s="68">
        <f t="shared" si="1"/>
        <v>172800</v>
      </c>
      <c r="H32" s="66"/>
    </row>
    <row r="33" spans="2:8" ht="20.100000000000001" customHeight="1" x14ac:dyDescent="0.45">
      <c r="C33" s="160"/>
      <c r="D33" s="75" t="s">
        <v>110</v>
      </c>
      <c r="E33" s="67"/>
      <c r="F33" s="75"/>
      <c r="G33" s="83"/>
      <c r="H33" s="66" t="s">
        <v>130</v>
      </c>
    </row>
    <row r="34" spans="2:8" ht="20.100000000000001" customHeight="1" x14ac:dyDescent="0.45">
      <c r="C34" s="160"/>
      <c r="D34" s="75" t="s">
        <v>131</v>
      </c>
      <c r="E34" s="67">
        <v>250</v>
      </c>
      <c r="F34" s="75">
        <f>F31*4</f>
        <v>32</v>
      </c>
      <c r="G34" s="68">
        <f t="shared" ref="G34:G35" si="2">E34*F34</f>
        <v>8000</v>
      </c>
      <c r="H34" s="66"/>
    </row>
    <row r="35" spans="2:8" ht="20.100000000000001" customHeight="1" x14ac:dyDescent="0.45">
      <c r="C35" s="160"/>
      <c r="D35" s="75" t="s">
        <v>132</v>
      </c>
      <c r="E35" s="67">
        <v>150</v>
      </c>
      <c r="F35" s="75">
        <f>F32*4</f>
        <v>128</v>
      </c>
      <c r="G35" s="68">
        <f t="shared" si="2"/>
        <v>19200</v>
      </c>
      <c r="H35" s="66"/>
    </row>
    <row r="36" spans="2:8" ht="20.100000000000001" customHeight="1" x14ac:dyDescent="0.45">
      <c r="C36" s="160"/>
      <c r="D36" s="75" t="s">
        <v>137</v>
      </c>
      <c r="E36" s="67">
        <v>19900</v>
      </c>
      <c r="F36" s="75">
        <v>4</v>
      </c>
      <c r="G36" s="68">
        <f t="shared" ref="G36" si="3">E36*F36</f>
        <v>79600</v>
      </c>
      <c r="H36" s="66" t="s">
        <v>138</v>
      </c>
    </row>
    <row r="37" spans="2:8" ht="20.100000000000001" customHeight="1" x14ac:dyDescent="0.45">
      <c r="C37" s="161"/>
      <c r="D37" s="76" t="s">
        <v>111</v>
      </c>
      <c r="E37" s="70">
        <f>100000/8</f>
        <v>12500</v>
      </c>
      <c r="F37" s="76">
        <f>F6</f>
        <v>8</v>
      </c>
      <c r="G37" s="101">
        <f>E37*F37</f>
        <v>100000</v>
      </c>
      <c r="H37" s="76" t="s">
        <v>134</v>
      </c>
    </row>
    <row r="38" spans="2:8" ht="20.100000000000001" customHeight="1" x14ac:dyDescent="0.45">
      <c r="C38" s="164" t="s">
        <v>98</v>
      </c>
      <c r="D38" s="75" t="s">
        <v>112</v>
      </c>
      <c r="E38" s="67">
        <v>68400</v>
      </c>
      <c r="F38" s="75">
        <f>F11</f>
        <v>2</v>
      </c>
      <c r="G38" s="68">
        <f t="shared" ref="G38:G39" si="4">E38*F38</f>
        <v>136800</v>
      </c>
      <c r="H38" s="74"/>
    </row>
    <row r="39" spans="2:8" ht="20.100000000000001" customHeight="1" x14ac:dyDescent="0.45">
      <c r="C39" s="165"/>
      <c r="D39" s="76" t="s">
        <v>113</v>
      </c>
      <c r="E39" s="70">
        <v>10000</v>
      </c>
      <c r="F39" s="76">
        <f>F11</f>
        <v>2</v>
      </c>
      <c r="G39" s="77">
        <f t="shared" si="4"/>
        <v>20000</v>
      </c>
      <c r="H39" s="69"/>
    </row>
    <row r="40" spans="2:8" ht="20.100000000000001" customHeight="1" x14ac:dyDescent="0.45">
      <c r="C40" s="158" t="s">
        <v>92</v>
      </c>
      <c r="D40" s="158"/>
      <c r="E40" s="84"/>
      <c r="F40" s="85"/>
      <c r="G40" s="107">
        <f>SUM(G29:G39)</f>
        <v>716400</v>
      </c>
    </row>
    <row r="41" spans="2:8" ht="20.100000000000001" customHeight="1" x14ac:dyDescent="0.45">
      <c r="C41" s="85"/>
      <c r="D41" s="85"/>
      <c r="E41" s="84"/>
      <c r="F41" s="85"/>
      <c r="G41" s="85"/>
    </row>
    <row r="42" spans="2:8" ht="20.100000000000001" customHeight="1" x14ac:dyDescent="0.45">
      <c r="B42" s="62" t="s">
        <v>114</v>
      </c>
      <c r="C42" s="86" t="s">
        <v>115</v>
      </c>
      <c r="D42" s="85"/>
      <c r="E42" s="84"/>
      <c r="F42" s="85"/>
      <c r="G42" s="85"/>
    </row>
    <row r="43" spans="2:8" ht="20.100000000000001" customHeight="1" x14ac:dyDescent="0.45">
      <c r="C43" s="64" t="s">
        <v>97</v>
      </c>
      <c r="D43" s="65" t="s">
        <v>94</v>
      </c>
      <c r="E43" s="65" t="s">
        <v>3</v>
      </c>
      <c r="F43" s="65" t="s">
        <v>43</v>
      </c>
      <c r="G43" s="65" t="s">
        <v>93</v>
      </c>
      <c r="H43" s="65" t="s">
        <v>37</v>
      </c>
    </row>
    <row r="44" spans="2:8" ht="20.100000000000001" customHeight="1" x14ac:dyDescent="0.45">
      <c r="C44" s="159" t="s">
        <v>142</v>
      </c>
      <c r="D44" s="92" t="s">
        <v>139</v>
      </c>
      <c r="E44" s="72">
        <v>450000</v>
      </c>
      <c r="F44" s="93">
        <v>1</v>
      </c>
      <c r="G44" s="73">
        <f t="shared" ref="G44:G47" si="5">E44*F44</f>
        <v>450000</v>
      </c>
      <c r="H44" s="93"/>
    </row>
    <row r="45" spans="2:8" ht="20.100000000000001" customHeight="1" x14ac:dyDescent="0.45">
      <c r="C45" s="162"/>
      <c r="D45" s="94" t="s">
        <v>140</v>
      </c>
      <c r="E45" s="67">
        <v>734000</v>
      </c>
      <c r="F45" s="95">
        <v>1</v>
      </c>
      <c r="G45" s="68">
        <f t="shared" si="5"/>
        <v>734000</v>
      </c>
      <c r="H45" s="95"/>
    </row>
    <row r="46" spans="2:8" ht="20.100000000000001" customHeight="1" x14ac:dyDescent="0.45">
      <c r="C46" s="162"/>
      <c r="D46" s="94" t="s">
        <v>141</v>
      </c>
      <c r="E46" s="67">
        <v>337500</v>
      </c>
      <c r="F46" s="95">
        <v>1</v>
      </c>
      <c r="G46" s="68">
        <f t="shared" si="5"/>
        <v>337500</v>
      </c>
      <c r="H46" s="95"/>
    </row>
    <row r="47" spans="2:8" ht="20.100000000000001" customHeight="1" x14ac:dyDescent="0.45">
      <c r="C47" s="163"/>
      <c r="D47" s="96" t="s">
        <v>120</v>
      </c>
      <c r="E47" s="70">
        <v>260900</v>
      </c>
      <c r="F47" s="97">
        <v>1</v>
      </c>
      <c r="G47" s="77">
        <f t="shared" si="5"/>
        <v>260900</v>
      </c>
      <c r="H47" s="97"/>
    </row>
    <row r="48" spans="2:8" ht="20.100000000000001" customHeight="1" x14ac:dyDescent="0.45">
      <c r="C48" s="158" t="s">
        <v>92</v>
      </c>
      <c r="D48" s="158"/>
      <c r="E48" s="98"/>
      <c r="F48" s="89"/>
      <c r="G48" s="107">
        <f>SUM(G44:G47)</f>
        <v>1782400</v>
      </c>
      <c r="H48" s="89"/>
    </row>
    <row r="49" spans="3:8" ht="20.100000000000001" customHeight="1" x14ac:dyDescent="0.45">
      <c r="C49" s="87"/>
      <c r="D49" s="88"/>
      <c r="E49" s="89"/>
      <c r="F49" s="89"/>
      <c r="G49" s="89"/>
      <c r="H49" s="89"/>
    </row>
    <row r="50" spans="3:8" ht="20.100000000000001" customHeight="1" x14ac:dyDescent="0.45">
      <c r="C50" s="87"/>
      <c r="D50" s="88"/>
      <c r="E50" s="89"/>
      <c r="F50" s="89"/>
      <c r="G50" s="89"/>
      <c r="H50" s="89"/>
    </row>
    <row r="51" spans="3:8" ht="20.100000000000001" customHeight="1" x14ac:dyDescent="0.45">
      <c r="C51" s="86" t="s">
        <v>143</v>
      </c>
      <c r="D51" s="85"/>
      <c r="E51" s="84"/>
      <c r="F51" s="85"/>
      <c r="G51" s="85"/>
    </row>
    <row r="52" spans="3:8" ht="20.100000000000001" customHeight="1" x14ac:dyDescent="0.45">
      <c r="C52" s="64" t="s">
        <v>97</v>
      </c>
      <c r="D52" s="65" t="s">
        <v>94</v>
      </c>
      <c r="E52" s="166" t="s">
        <v>153</v>
      </c>
      <c r="F52" s="167"/>
      <c r="G52" s="168"/>
      <c r="H52" s="65" t="s">
        <v>37</v>
      </c>
    </row>
    <row r="53" spans="3:8" ht="20.100000000000001" customHeight="1" x14ac:dyDescent="0.45">
      <c r="C53" s="159" t="s">
        <v>144</v>
      </c>
      <c r="D53" s="92" t="s">
        <v>145</v>
      </c>
      <c r="E53" s="169"/>
      <c r="F53" s="170"/>
      <c r="G53" s="171"/>
      <c r="H53" s="94" t="s">
        <v>172</v>
      </c>
    </row>
    <row r="54" spans="3:8" ht="20.100000000000001" customHeight="1" x14ac:dyDescent="0.45">
      <c r="C54" s="162"/>
      <c r="D54" s="94" t="s">
        <v>147</v>
      </c>
      <c r="E54" s="172">
        <v>59000</v>
      </c>
      <c r="F54" s="173"/>
      <c r="G54" s="174"/>
      <c r="H54" s="94"/>
    </row>
    <row r="55" spans="3:8" ht="20.100000000000001" customHeight="1" x14ac:dyDescent="0.45">
      <c r="C55" s="162"/>
      <c r="D55" s="94" t="s">
        <v>148</v>
      </c>
      <c r="E55" s="172">
        <v>129000</v>
      </c>
      <c r="F55" s="173"/>
      <c r="G55" s="174"/>
      <c r="H55" s="94"/>
    </row>
    <row r="56" spans="3:8" ht="20.100000000000001" customHeight="1" x14ac:dyDescent="0.45">
      <c r="C56" s="162"/>
      <c r="D56" s="94" t="s">
        <v>149</v>
      </c>
      <c r="E56" s="172">
        <v>162000</v>
      </c>
      <c r="F56" s="173"/>
      <c r="G56" s="174"/>
      <c r="H56" s="94"/>
    </row>
    <row r="57" spans="3:8" ht="20.100000000000001" customHeight="1" x14ac:dyDescent="0.45">
      <c r="C57" s="162"/>
      <c r="D57" s="94" t="s">
        <v>146</v>
      </c>
      <c r="E57" s="172"/>
      <c r="F57" s="173"/>
      <c r="G57" s="174"/>
      <c r="H57" s="94" t="s">
        <v>173</v>
      </c>
    </row>
    <row r="58" spans="3:8" ht="20.100000000000001" customHeight="1" x14ac:dyDescent="0.45">
      <c r="C58" s="162"/>
      <c r="D58" s="94" t="s">
        <v>150</v>
      </c>
      <c r="E58" s="172">
        <v>49000</v>
      </c>
      <c r="F58" s="173"/>
      <c r="G58" s="174"/>
      <c r="H58" s="94"/>
    </row>
    <row r="59" spans="3:8" ht="20.100000000000001" customHeight="1" x14ac:dyDescent="0.45">
      <c r="C59" s="162"/>
      <c r="D59" s="94" t="s">
        <v>151</v>
      </c>
      <c r="E59" s="172">
        <v>114000</v>
      </c>
      <c r="F59" s="173"/>
      <c r="G59" s="174"/>
      <c r="H59" s="94"/>
    </row>
    <row r="60" spans="3:8" ht="20.100000000000001" customHeight="1" x14ac:dyDescent="0.45">
      <c r="C60" s="163"/>
      <c r="D60" s="96" t="s">
        <v>152</v>
      </c>
      <c r="E60" s="175">
        <v>126000</v>
      </c>
      <c r="F60" s="176"/>
      <c r="G60" s="177"/>
      <c r="H60" s="96"/>
    </row>
    <row r="61" spans="3:8" ht="20.100000000000001" customHeight="1" x14ac:dyDescent="0.45">
      <c r="C61" s="158" t="s">
        <v>92</v>
      </c>
      <c r="D61" s="158"/>
      <c r="E61" s="78"/>
      <c r="F61" s="89"/>
      <c r="G61" s="107">
        <f>(回収年!F67*回収年!D20+回収年!F68*回収年!D21)*回収年!D66/100</f>
        <v>97200</v>
      </c>
      <c r="H61" s="108" t="s">
        <v>171</v>
      </c>
    </row>
    <row r="62" spans="3:8" ht="20.100000000000001" customHeight="1" x14ac:dyDescent="0.45">
      <c r="C62" s="87"/>
      <c r="D62" s="89"/>
      <c r="E62" s="89"/>
      <c r="F62" s="89"/>
      <c r="G62" s="89"/>
      <c r="H62" s="89"/>
    </row>
    <row r="63" spans="3:8" ht="20.100000000000001" customHeight="1" x14ac:dyDescent="0.45">
      <c r="C63" s="86" t="s">
        <v>155</v>
      </c>
      <c r="D63" s="85"/>
      <c r="E63" s="84"/>
      <c r="F63" s="85"/>
      <c r="G63" s="85"/>
    </row>
    <row r="64" spans="3:8" ht="20.100000000000001" customHeight="1" x14ac:dyDescent="0.45">
      <c r="C64" s="64" t="s">
        <v>97</v>
      </c>
      <c r="D64" s="65" t="s">
        <v>94</v>
      </c>
      <c r="E64" s="166" t="s">
        <v>164</v>
      </c>
      <c r="F64" s="167"/>
      <c r="G64" s="168"/>
      <c r="H64" s="65" t="s">
        <v>158</v>
      </c>
    </row>
    <row r="65" spans="2:8" ht="20.100000000000001" customHeight="1" x14ac:dyDescent="0.45">
      <c r="C65" s="159" t="s">
        <v>156</v>
      </c>
      <c r="D65" s="92" t="s">
        <v>160</v>
      </c>
      <c r="E65" s="178">
        <f>回収年!D71</f>
        <v>1.43</v>
      </c>
      <c r="F65" s="179"/>
      <c r="G65" s="180"/>
      <c r="H65" s="92" t="s">
        <v>165</v>
      </c>
    </row>
    <row r="66" spans="2:8" ht="20.100000000000001" customHeight="1" x14ac:dyDescent="0.45">
      <c r="C66" s="162"/>
      <c r="D66" s="94" t="s">
        <v>161</v>
      </c>
      <c r="E66" s="172">
        <f>回収年!D72</f>
        <v>10</v>
      </c>
      <c r="F66" s="173"/>
      <c r="G66" s="174"/>
      <c r="H66" s="94"/>
    </row>
    <row r="67" spans="2:8" ht="20.100000000000001" customHeight="1" x14ac:dyDescent="0.45">
      <c r="C67" s="163"/>
      <c r="D67" s="96" t="s">
        <v>162</v>
      </c>
      <c r="E67" s="175">
        <f>回収年!D73</f>
        <v>19900</v>
      </c>
      <c r="F67" s="176"/>
      <c r="G67" s="177"/>
      <c r="H67" s="96" t="s">
        <v>163</v>
      </c>
    </row>
    <row r="68" spans="2:8" ht="20.100000000000001" customHeight="1" x14ac:dyDescent="0.45">
      <c r="C68" s="158" t="s">
        <v>92</v>
      </c>
      <c r="D68" s="158"/>
      <c r="E68" s="78"/>
      <c r="F68" s="89"/>
      <c r="G68" s="107">
        <f>ROUNDUP(E65*(E66/100)*365/8*E67,-2)</f>
        <v>129900</v>
      </c>
      <c r="H68" s="89"/>
    </row>
    <row r="69" spans="2:8" ht="20.100000000000001" customHeight="1" x14ac:dyDescent="0.45"/>
    <row r="70" spans="2:8" ht="20.100000000000001" customHeight="1" x14ac:dyDescent="0.45">
      <c r="B70" s="62" t="s">
        <v>166</v>
      </c>
    </row>
    <row r="71" spans="2:8" ht="20.100000000000001" customHeight="1" x14ac:dyDescent="0.45">
      <c r="C71" s="181" t="s">
        <v>167</v>
      </c>
      <c r="D71" s="106" t="s">
        <v>168</v>
      </c>
      <c r="E71" s="183" t="s">
        <v>170</v>
      </c>
      <c r="F71" s="185" t="str">
        <f>ROUNDDOWN((G14+G19+G25)/((G48+G61+G68)-G40),1)&amp;"　年"</f>
        <v>4.5　年</v>
      </c>
      <c r="G71" s="186"/>
    </row>
    <row r="72" spans="2:8" ht="20.100000000000001" customHeight="1" x14ac:dyDescent="0.45">
      <c r="C72" s="182"/>
      <c r="D72" s="106" t="s">
        <v>169</v>
      </c>
      <c r="E72" s="184"/>
      <c r="F72" s="187"/>
      <c r="G72" s="188"/>
    </row>
    <row r="73" spans="2:8" ht="20.100000000000001" customHeight="1" x14ac:dyDescent="0.45"/>
  </sheetData>
  <mergeCells count="30">
    <mergeCell ref="C71:C72"/>
    <mergeCell ref="E71:E72"/>
    <mergeCell ref="F71:G72"/>
    <mergeCell ref="C65:C67"/>
    <mergeCell ref="E67:G67"/>
    <mergeCell ref="C61:D61"/>
    <mergeCell ref="E64:G64"/>
    <mergeCell ref="E65:G65"/>
    <mergeCell ref="E66:G66"/>
    <mergeCell ref="C68:D68"/>
    <mergeCell ref="C44:C47"/>
    <mergeCell ref="C53:C60"/>
    <mergeCell ref="E52:G52"/>
    <mergeCell ref="E53:G53"/>
    <mergeCell ref="E54:G54"/>
    <mergeCell ref="E55:G55"/>
    <mergeCell ref="E56:G56"/>
    <mergeCell ref="E57:G57"/>
    <mergeCell ref="E58:G58"/>
    <mergeCell ref="E59:G59"/>
    <mergeCell ref="E60:G60"/>
    <mergeCell ref="C48:D48"/>
    <mergeCell ref="C25:D25"/>
    <mergeCell ref="C29:C37"/>
    <mergeCell ref="C40:D40"/>
    <mergeCell ref="C6:C10"/>
    <mergeCell ref="C11:C13"/>
    <mergeCell ref="C14:D14"/>
    <mergeCell ref="C19:D19"/>
    <mergeCell ref="C38:C39"/>
  </mergeCells>
  <phoneticPr fontId="1"/>
  <pageMargins left="0.70866141732283472" right="0.11811023622047245" top="0.35433070866141736" bottom="0.15748031496062992" header="0.31496062992125984" footer="0.31496062992125984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view="pageBreakPreview" zoomScaleNormal="100" zoomScaleSheetLayoutView="100" workbookViewId="0">
      <selection activeCell="N22" sqref="N22"/>
    </sheetView>
  </sheetViews>
  <sheetFormatPr defaultRowHeight="18" x14ac:dyDescent="0.45"/>
  <cols>
    <col min="1" max="1" width="4.796875" customWidth="1"/>
    <col min="2" max="2" width="19.19921875" bestFit="1" customWidth="1"/>
    <col min="3" max="3" width="11" bestFit="1" customWidth="1"/>
    <col min="4" max="4" width="18.19921875" customWidth="1"/>
    <col min="5" max="5" width="11" bestFit="1" customWidth="1"/>
    <col min="6" max="6" width="19.09765625" bestFit="1" customWidth="1"/>
  </cols>
  <sheetData>
    <row r="2" spans="2:6" x14ac:dyDescent="0.45">
      <c r="B2" t="s">
        <v>26</v>
      </c>
    </row>
    <row r="3" spans="2:6" s="2" customFormat="1" x14ac:dyDescent="0.45">
      <c r="B3" s="2" t="s">
        <v>36</v>
      </c>
      <c r="C3" s="2" t="s">
        <v>33</v>
      </c>
      <c r="D3" s="2" t="s">
        <v>34</v>
      </c>
      <c r="E3" s="2" t="s">
        <v>189</v>
      </c>
      <c r="F3" s="2" t="s">
        <v>37</v>
      </c>
    </row>
    <row r="4" spans="2:6" s="2" customFormat="1" x14ac:dyDescent="0.45">
      <c r="B4" s="119" t="s">
        <v>175</v>
      </c>
      <c r="C4" s="119" t="s">
        <v>187</v>
      </c>
      <c r="D4" s="2">
        <f>回収年!D5</f>
        <v>50000</v>
      </c>
      <c r="E4" s="2" t="s">
        <v>118</v>
      </c>
    </row>
    <row r="5" spans="2:6" x14ac:dyDescent="0.45">
      <c r="B5" t="s">
        <v>0</v>
      </c>
      <c r="C5" t="s">
        <v>28</v>
      </c>
      <c r="D5" t="s">
        <v>183</v>
      </c>
      <c r="E5">
        <f>D4*0.0191+5370.8</f>
        <v>6325.8</v>
      </c>
      <c r="F5" t="s">
        <v>32</v>
      </c>
    </row>
    <row r="6" spans="2:6" x14ac:dyDescent="0.45">
      <c r="B6" t="s">
        <v>25</v>
      </c>
      <c r="C6" t="s">
        <v>28</v>
      </c>
      <c r="D6" t="s">
        <v>184</v>
      </c>
      <c r="E6">
        <f>D4*0.0014+683.54</f>
        <v>753.54</v>
      </c>
    </row>
    <row r="7" spans="2:6" x14ac:dyDescent="0.45">
      <c r="B7" t="s">
        <v>7</v>
      </c>
      <c r="C7" t="s">
        <v>28</v>
      </c>
      <c r="D7" t="s">
        <v>185</v>
      </c>
      <c r="E7">
        <f>D4*0.0016+1935</f>
        <v>2015</v>
      </c>
    </row>
    <row r="8" spans="2:6" x14ac:dyDescent="0.45">
      <c r="B8" t="s">
        <v>29</v>
      </c>
      <c r="C8" t="s">
        <v>31</v>
      </c>
      <c r="D8" t="s">
        <v>91</v>
      </c>
      <c r="E8">
        <f>IF(D4=0,0,ROUND(E5/(E7-E6),1))</f>
        <v>5</v>
      </c>
    </row>
    <row r="14" spans="2:6" x14ac:dyDescent="0.45">
      <c r="B14" t="s">
        <v>177</v>
      </c>
    </row>
    <row r="15" spans="2:6" x14ac:dyDescent="0.45">
      <c r="B15" s="111" t="s">
        <v>181</v>
      </c>
      <c r="C15" s="111" t="s">
        <v>168</v>
      </c>
    </row>
    <row r="16" spans="2:6" x14ac:dyDescent="0.45">
      <c r="B16" s="109">
        <v>10000</v>
      </c>
      <c r="C16" s="109">
        <f>5833500/1000</f>
        <v>5833.5</v>
      </c>
    </row>
    <row r="17" spans="2:3" x14ac:dyDescent="0.45">
      <c r="B17" s="109">
        <v>50000</v>
      </c>
      <c r="C17" s="109">
        <f>5833500/1000</f>
        <v>5833.5</v>
      </c>
    </row>
    <row r="18" spans="2:3" x14ac:dyDescent="0.45">
      <c r="B18" s="110">
        <v>100000</v>
      </c>
      <c r="C18" s="110">
        <f>7493900/1000</f>
        <v>7493.9</v>
      </c>
    </row>
    <row r="19" spans="2:3" x14ac:dyDescent="0.45">
      <c r="B19" s="112"/>
      <c r="C19" s="113"/>
    </row>
    <row r="20" spans="2:3" x14ac:dyDescent="0.45">
      <c r="B20" s="112" t="s">
        <v>178</v>
      </c>
      <c r="C20" s="113"/>
    </row>
    <row r="21" spans="2:3" x14ac:dyDescent="0.45">
      <c r="B21" s="111" t="s">
        <v>182</v>
      </c>
      <c r="C21" s="114" t="s">
        <v>176</v>
      </c>
    </row>
    <row r="22" spans="2:3" x14ac:dyDescent="0.45">
      <c r="B22" s="109">
        <v>10000</v>
      </c>
      <c r="C22" s="109">
        <f>716400/1000</f>
        <v>716.4</v>
      </c>
    </row>
    <row r="23" spans="2:3" x14ac:dyDescent="0.45">
      <c r="B23" s="109">
        <v>50000</v>
      </c>
      <c r="C23" s="109">
        <f>716400/1000</f>
        <v>716.4</v>
      </c>
    </row>
    <row r="24" spans="2:3" x14ac:dyDescent="0.45">
      <c r="B24" s="110">
        <v>100000</v>
      </c>
      <c r="C24" s="110">
        <f>834300/1000</f>
        <v>834.3</v>
      </c>
    </row>
    <row r="25" spans="2:3" x14ac:dyDescent="0.45">
      <c r="B25" s="112"/>
      <c r="C25" s="113"/>
    </row>
    <row r="26" spans="2:3" x14ac:dyDescent="0.45">
      <c r="B26" s="112" t="s">
        <v>179</v>
      </c>
      <c r="C26" s="113"/>
    </row>
    <row r="27" spans="2:3" x14ac:dyDescent="0.45">
      <c r="B27" s="111" t="s">
        <v>182</v>
      </c>
      <c r="C27" s="114" t="s">
        <v>180</v>
      </c>
    </row>
    <row r="28" spans="2:3" x14ac:dyDescent="0.45">
      <c r="B28" s="109">
        <v>10000</v>
      </c>
      <c r="C28" s="115">
        <f>1955600/1000</f>
        <v>1955.6</v>
      </c>
    </row>
    <row r="29" spans="2:3" x14ac:dyDescent="0.45">
      <c r="B29" s="109">
        <v>50000</v>
      </c>
      <c r="C29" s="115">
        <f>2009600/1000</f>
        <v>2009.6</v>
      </c>
    </row>
    <row r="30" spans="2:3" x14ac:dyDescent="0.45">
      <c r="B30" s="110">
        <v>100000</v>
      </c>
      <c r="C30" s="116">
        <f>2102600/1000</f>
        <v>2102.6</v>
      </c>
    </row>
    <row r="31" spans="2:3" x14ac:dyDescent="0.45">
      <c r="B31" s="112"/>
      <c r="C31" s="112"/>
    </row>
  </sheetData>
  <phoneticPr fontId="1"/>
  <pageMargins left="0.31496062992125984" right="0" top="0.15748031496062992" bottom="0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回収年</vt:lpstr>
      <vt:lpstr>詳細検討</vt:lpstr>
      <vt:lpstr>概略検討</vt:lpstr>
      <vt:lpstr>回収年!Print_Area</vt:lpstr>
      <vt:lpstr>詳細検討!Print_Area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2019-10-30T00:58:28Z</cp:lastPrinted>
  <dcterms:created xsi:type="dcterms:W3CDTF">2019-08-26T04:21:32Z</dcterms:created>
  <dcterms:modified xsi:type="dcterms:W3CDTF">2021-01-12T06:33:06Z</dcterms:modified>
</cp:coreProperties>
</file>