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C:\Users\BF01541\Desktop\"/>
    </mc:Choice>
  </mc:AlternateContent>
  <xr:revisionPtr revIDLastSave="0" documentId="13_ncr:1_{87DC6E8E-B35B-4DF8-B342-2A650C01F278}" xr6:coauthVersionLast="44" xr6:coauthVersionMax="44" xr10:uidLastSave="{00000000-0000-0000-0000-000000000000}"/>
  <bookViews>
    <workbookView xWindow="-108" yWindow="-108" windowWidth="23256" windowHeight="14016" xr2:uid="{00000000-000D-0000-FFFF-FFFF00000000}"/>
  </bookViews>
  <sheets>
    <sheet name="効果算定シート" sheetId="1" r:id="rId1"/>
  </sheets>
  <definedNames>
    <definedName name="_xlnm.Print_Area" localSheetId="0">効果算定シート!$A$1:$N$245</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177" i="1" l="1"/>
  <c r="J170" i="1"/>
  <c r="J168" i="1"/>
  <c r="J176" i="1"/>
  <c r="J103" i="1"/>
  <c r="K103" i="1" s="1"/>
  <c r="J240" i="1" l="1"/>
  <c r="J236" i="1"/>
  <c r="J230" i="1"/>
  <c r="J189" i="1" l="1"/>
  <c r="J217" i="1" s="1"/>
  <c r="J188" i="1"/>
  <c r="J216" i="1" s="1"/>
  <c r="J106" i="1" l="1"/>
  <c r="K106" i="1" s="1"/>
  <c r="J105" i="1"/>
  <c r="K105" i="1" s="1"/>
  <c r="J104" i="1"/>
  <c r="K104" i="1" s="1"/>
  <c r="H10" i="1" l="1"/>
  <c r="J166" i="1" l="1"/>
  <c r="J165" i="1"/>
  <c r="H12" i="1"/>
  <c r="J238" i="1"/>
  <c r="J234" i="1"/>
  <c r="J233" i="1"/>
  <c r="J232" i="1"/>
  <c r="J229" i="1"/>
  <c r="J237" i="1"/>
  <c r="J241" i="1"/>
  <c r="J231" i="1"/>
  <c r="J235" i="1"/>
  <c r="J239" i="1"/>
  <c r="H11" i="1"/>
  <c r="J173" i="1" l="1"/>
  <c r="J169" i="1"/>
  <c r="J175" i="1"/>
  <c r="H4" i="1"/>
  <c r="J223" i="1" s="1"/>
  <c r="J158" i="1" l="1"/>
  <c r="J190" i="1"/>
  <c r="J218" i="1" s="1"/>
  <c r="J228" i="1" s="1"/>
  <c r="J193" i="1"/>
  <c r="J224" i="1" s="1"/>
  <c r="H9" i="1"/>
  <c r="J108" i="1"/>
  <c r="K108" i="1" s="1"/>
  <c r="J107" i="1"/>
  <c r="K107" i="1" s="1"/>
  <c r="H7" i="1"/>
  <c r="H8" i="1"/>
  <c r="H5" i="1"/>
  <c r="H6" i="1"/>
  <c r="J205" i="1"/>
  <c r="J206" i="1"/>
  <c r="J204" i="1"/>
  <c r="J203" i="1"/>
  <c r="J202" i="1"/>
  <c r="J201" i="1"/>
  <c r="J200" i="1"/>
  <c r="J199" i="1"/>
  <c r="J209" i="1" s="1"/>
  <c r="J244" i="1" s="1"/>
  <c r="J222" i="1" l="1"/>
  <c r="J155" i="1"/>
  <c r="J221" i="1"/>
  <c r="J153" i="1"/>
  <c r="G93" i="1"/>
  <c r="G96" i="1"/>
  <c r="G87" i="1"/>
  <c r="J208" i="1"/>
  <c r="G92" i="1" s="1"/>
  <c r="J192" i="1"/>
  <c r="J220" i="1" s="1"/>
  <c r="J152" i="1"/>
  <c r="J198" i="1"/>
  <c r="G83" i="1" s="1"/>
  <c r="J191" i="1"/>
  <c r="J219" i="1" s="1"/>
  <c r="J151" i="1"/>
  <c r="J114" i="1"/>
  <c r="K114" i="1" s="1"/>
  <c r="J113" i="1"/>
  <c r="K113" i="1" s="1"/>
  <c r="J111" i="1"/>
  <c r="K111" i="1" s="1"/>
  <c r="J112" i="1"/>
  <c r="K112" i="1" s="1"/>
  <c r="J207" i="1"/>
  <c r="G91" i="1" s="1"/>
  <c r="J242" i="1"/>
  <c r="G94" i="1" s="1"/>
  <c r="J243" i="1"/>
  <c r="G95" i="1" s="1"/>
  <c r="J197" i="1" l="1"/>
  <c r="G82" i="1" s="1"/>
  <c r="J195" i="1"/>
  <c r="G80" i="1" s="1"/>
  <c r="J225" i="1"/>
  <c r="G84" i="1" s="1"/>
  <c r="J118" i="1"/>
  <c r="K121" i="1"/>
  <c r="J117" i="1"/>
  <c r="J196" i="1"/>
  <c r="G81" i="1" s="1"/>
  <c r="K122" i="1"/>
  <c r="J178" i="1"/>
  <c r="J174" i="1"/>
  <c r="J172" i="1"/>
  <c r="J171" i="1"/>
  <c r="J167" i="1"/>
  <c r="J164" i="1"/>
  <c r="J157" i="1"/>
  <c r="J150" i="1"/>
  <c r="J149" i="1"/>
  <c r="J148" i="1"/>
  <c r="J147" i="1"/>
  <c r="J146" i="1"/>
  <c r="J134" i="1"/>
  <c r="K134" i="1" s="1"/>
  <c r="J133" i="1"/>
  <c r="K133" i="1" s="1"/>
  <c r="J132" i="1"/>
  <c r="K132" i="1" s="1"/>
  <c r="J131" i="1"/>
  <c r="K131" i="1" s="1"/>
  <c r="J130" i="1"/>
  <c r="K130" i="1" s="1"/>
  <c r="J129" i="1"/>
  <c r="K129" i="1" s="1"/>
  <c r="J128" i="1"/>
  <c r="K128" i="1" s="1"/>
  <c r="J127" i="1"/>
  <c r="K127" i="1" s="1"/>
  <c r="J126" i="1"/>
  <c r="K126" i="1" s="1"/>
  <c r="J125" i="1"/>
  <c r="J116" i="1"/>
  <c r="K116" i="1" s="1"/>
  <c r="J115" i="1"/>
  <c r="K115" i="1" s="1"/>
  <c r="J110" i="1"/>
  <c r="K110" i="1" s="1"/>
  <c r="J109" i="1"/>
  <c r="K109" i="1" s="1"/>
  <c r="J181" i="1" l="1"/>
  <c r="J227" i="1"/>
  <c r="G86" i="1" s="1"/>
  <c r="J226" i="1"/>
  <c r="G85" i="1" s="1"/>
  <c r="K124" i="1"/>
  <c r="J120" i="1"/>
  <c r="J136" i="1"/>
  <c r="K125" i="1"/>
  <c r="J135" i="1"/>
  <c r="J137" i="1"/>
  <c r="J180" i="1"/>
  <c r="J179" i="1"/>
  <c r="J160" i="1"/>
  <c r="G76" i="1" s="1"/>
  <c r="J162" i="1"/>
  <c r="J163" i="1"/>
  <c r="J161" i="1"/>
  <c r="G77" i="1" s="1"/>
  <c r="K123" i="1"/>
  <c r="J119" i="1"/>
  <c r="G78" i="1" l="1"/>
  <c r="G79" i="1"/>
  <c r="K139" i="1"/>
  <c r="G89" i="1" s="1"/>
  <c r="K140" i="1"/>
  <c r="G90" i="1" s="1"/>
  <c r="K138" i="1"/>
  <c r="G88" i="1" s="1"/>
</calcChain>
</file>

<file path=xl/sharedStrings.xml><?xml version="1.0" encoding="utf-8"?>
<sst xmlns="http://schemas.openxmlformats.org/spreadsheetml/2006/main" count="514" uniqueCount="264">
  <si>
    <t>従来技術</t>
    <rPh sb="0" eb="2">
      <t>ジュウライ</t>
    </rPh>
    <rPh sb="2" eb="4">
      <t>ギジュツ</t>
    </rPh>
    <phoneticPr fontId="1"/>
  </si>
  <si>
    <t>革新的技術</t>
    <rPh sb="0" eb="3">
      <t>カクシンテキ</t>
    </rPh>
    <rPh sb="3" eb="5">
      <t>ギジュツ</t>
    </rPh>
    <phoneticPr fontId="1"/>
  </si>
  <si>
    <t>項目</t>
    <rPh sb="0" eb="2">
      <t>コウモク</t>
    </rPh>
    <phoneticPr fontId="1"/>
  </si>
  <si>
    <t>区分</t>
    <rPh sb="0" eb="2">
      <t>クブン</t>
    </rPh>
    <phoneticPr fontId="1"/>
  </si>
  <si>
    <t>単位</t>
    <rPh sb="0" eb="2">
      <t>タンイ</t>
    </rPh>
    <phoneticPr fontId="1"/>
  </si>
  <si>
    <t>百万円/年</t>
    <rPh sb="0" eb="3">
      <t>ヒャクマンエン</t>
    </rPh>
    <rPh sb="4" eb="5">
      <t>ネン</t>
    </rPh>
    <phoneticPr fontId="1"/>
  </si>
  <si>
    <t>関数</t>
    <rPh sb="0" eb="2">
      <t>カンスウ</t>
    </rPh>
    <phoneticPr fontId="1"/>
  </si>
  <si>
    <t>備考</t>
    <rPh sb="0" eb="2">
      <t>ビコウ</t>
    </rPh>
    <phoneticPr fontId="1"/>
  </si>
  <si>
    <t>バイオガス発電</t>
    <rPh sb="5" eb="7">
      <t>ハツデン</t>
    </rPh>
    <phoneticPr fontId="1"/>
  </si>
  <si>
    <t>機械・電気（消化槽本体）</t>
    <rPh sb="0" eb="2">
      <t>キカイ</t>
    </rPh>
    <rPh sb="3" eb="5">
      <t>デンキ</t>
    </rPh>
    <rPh sb="6" eb="8">
      <t>ショウカ</t>
    </rPh>
    <rPh sb="8" eb="9">
      <t>ソウ</t>
    </rPh>
    <rPh sb="9" eb="11">
      <t>ホンタイ</t>
    </rPh>
    <phoneticPr fontId="1"/>
  </si>
  <si>
    <t>機械・電気（消化槽本体以外）</t>
    <rPh sb="0" eb="2">
      <t>キカイ</t>
    </rPh>
    <rPh sb="3" eb="5">
      <t>デンキ</t>
    </rPh>
    <rPh sb="6" eb="8">
      <t>ショウカ</t>
    </rPh>
    <rPh sb="8" eb="9">
      <t>ソウ</t>
    </rPh>
    <rPh sb="9" eb="11">
      <t>ホンタイ</t>
    </rPh>
    <rPh sb="11" eb="13">
      <t>イガイ</t>
    </rPh>
    <phoneticPr fontId="1"/>
  </si>
  <si>
    <t>土木（消化槽）</t>
    <rPh sb="0" eb="2">
      <t>ドボク</t>
    </rPh>
    <rPh sb="3" eb="5">
      <t>ショウカ</t>
    </rPh>
    <rPh sb="5" eb="6">
      <t>ソウ</t>
    </rPh>
    <phoneticPr fontId="1"/>
  </si>
  <si>
    <t>土木（消化槽以外）</t>
    <rPh sb="0" eb="2">
      <t>ドボク</t>
    </rPh>
    <rPh sb="3" eb="5">
      <t>ショウカ</t>
    </rPh>
    <rPh sb="5" eb="6">
      <t>ソウ</t>
    </rPh>
    <rPh sb="6" eb="8">
      <t>イガイ</t>
    </rPh>
    <phoneticPr fontId="1"/>
  </si>
  <si>
    <t>機械・電気</t>
    <rPh sb="0" eb="2">
      <t>キカイ</t>
    </rPh>
    <rPh sb="3" eb="5">
      <t>デンキ</t>
    </rPh>
    <phoneticPr fontId="1"/>
  </si>
  <si>
    <t>土木</t>
    <rPh sb="0" eb="2">
      <t>ドボク</t>
    </rPh>
    <phoneticPr fontId="1"/>
  </si>
  <si>
    <t>高濃度消化
（濃縮含む）</t>
    <rPh sb="0" eb="3">
      <t>コウノウド</t>
    </rPh>
    <rPh sb="3" eb="5">
      <t>ショウカ</t>
    </rPh>
    <rPh sb="7" eb="9">
      <t>ノウシュク</t>
    </rPh>
    <rPh sb="9" eb="10">
      <t>フク</t>
    </rPh>
    <phoneticPr fontId="1"/>
  </si>
  <si>
    <t>省エネ型
バイオガス精製</t>
    <rPh sb="0" eb="1">
      <t>ショウ</t>
    </rPh>
    <rPh sb="3" eb="4">
      <t>ガタ</t>
    </rPh>
    <rPh sb="10" eb="12">
      <t>セイセイ</t>
    </rPh>
    <phoneticPr fontId="1"/>
  </si>
  <si>
    <t>小規模
水素製造・供給</t>
    <rPh sb="0" eb="3">
      <t>ショウキボ</t>
    </rPh>
    <rPh sb="4" eb="8">
      <t>スイソセイゾウ</t>
    </rPh>
    <rPh sb="9" eb="11">
      <t>キョウキュウ</t>
    </rPh>
    <phoneticPr fontId="1"/>
  </si>
  <si>
    <t>合計</t>
    <rPh sb="0" eb="2">
      <t>ゴウケイ</t>
    </rPh>
    <phoneticPr fontId="1"/>
  </si>
  <si>
    <r>
      <t>Y=63.2Q1</t>
    </r>
    <r>
      <rPr>
        <vertAlign val="superscript"/>
        <sz val="11"/>
        <color theme="1"/>
        <rFont val="ＭＳ Ｐゴシック"/>
        <family val="3"/>
        <charset val="128"/>
      </rPr>
      <t>0.677</t>
    </r>
    <phoneticPr fontId="1"/>
  </si>
  <si>
    <r>
      <t>Y=195.8Q1</t>
    </r>
    <r>
      <rPr>
        <vertAlign val="superscript"/>
        <sz val="11"/>
        <color theme="1"/>
        <rFont val="ＭＳ Ｐゴシック"/>
        <family val="3"/>
        <charset val="128"/>
      </rPr>
      <t>0.531</t>
    </r>
    <phoneticPr fontId="1"/>
  </si>
  <si>
    <r>
      <t>Y=19.6Q1</t>
    </r>
    <r>
      <rPr>
        <vertAlign val="superscript"/>
        <sz val="11"/>
        <color theme="1"/>
        <rFont val="ＭＳ Ｐゴシック"/>
        <family val="3"/>
        <charset val="128"/>
      </rPr>
      <t>0.586</t>
    </r>
    <phoneticPr fontId="1"/>
  </si>
  <si>
    <r>
      <t>Y=28.2Q1</t>
    </r>
    <r>
      <rPr>
        <vertAlign val="superscript"/>
        <sz val="11"/>
        <color theme="1"/>
        <rFont val="ＭＳ Ｐゴシック"/>
        <family val="3"/>
        <charset val="128"/>
      </rPr>
      <t>0.569</t>
    </r>
    <phoneticPr fontId="1"/>
  </si>
  <si>
    <r>
      <t>Y=39.6Q2</t>
    </r>
    <r>
      <rPr>
        <vertAlign val="superscript"/>
        <sz val="11"/>
        <color theme="1"/>
        <rFont val="ＭＳ Ｐゴシック"/>
        <family val="3"/>
        <charset val="128"/>
      </rPr>
      <t>0.255</t>
    </r>
    <phoneticPr fontId="1"/>
  </si>
  <si>
    <r>
      <t>Y=4.3Q2</t>
    </r>
    <r>
      <rPr>
        <vertAlign val="superscript"/>
        <sz val="11"/>
        <color theme="1"/>
        <rFont val="ＭＳ Ｐゴシック"/>
        <family val="3"/>
        <charset val="128"/>
      </rPr>
      <t>0.265</t>
    </r>
    <phoneticPr fontId="1"/>
  </si>
  <si>
    <t>Y=271.8</t>
    <phoneticPr fontId="1"/>
  </si>
  <si>
    <t>Y=13.7</t>
    <phoneticPr fontId="1"/>
  </si>
  <si>
    <r>
      <t>Y=3.6Q2</t>
    </r>
    <r>
      <rPr>
        <vertAlign val="superscript"/>
        <sz val="11"/>
        <color theme="1"/>
        <rFont val="ＭＳ Ｐゴシック"/>
        <family val="3"/>
        <charset val="128"/>
      </rPr>
      <t>0.505</t>
    </r>
    <phoneticPr fontId="1"/>
  </si>
  <si>
    <r>
      <t>Y=0.219Q2</t>
    </r>
    <r>
      <rPr>
        <vertAlign val="superscript"/>
        <sz val="11"/>
        <color theme="1"/>
        <rFont val="ＭＳ Ｐゴシック"/>
        <family val="3"/>
        <charset val="128"/>
      </rPr>
      <t>0.596</t>
    </r>
    <phoneticPr fontId="1"/>
  </si>
  <si>
    <t>－</t>
    <phoneticPr fontId="1"/>
  </si>
  <si>
    <t>Q1</t>
    <phoneticPr fontId="1"/>
  </si>
  <si>
    <t>Q2</t>
    <phoneticPr fontId="1"/>
  </si>
  <si>
    <t>Qd0</t>
    <phoneticPr fontId="1"/>
  </si>
  <si>
    <t>Qd1</t>
    <phoneticPr fontId="1"/>
  </si>
  <si>
    <t>Qd2</t>
    <phoneticPr fontId="1"/>
  </si>
  <si>
    <t>g</t>
    <phoneticPr fontId="1"/>
  </si>
  <si>
    <t>V</t>
    <phoneticPr fontId="1"/>
  </si>
  <si>
    <t>x</t>
    <phoneticPr fontId="1"/>
  </si>
  <si>
    <t>消化</t>
    <rPh sb="0" eb="2">
      <t>ショウカ</t>
    </rPh>
    <phoneticPr fontId="1"/>
  </si>
  <si>
    <t>消化以外</t>
    <rPh sb="0" eb="2">
      <t>ショウカ</t>
    </rPh>
    <rPh sb="2" eb="4">
      <t>イガイ</t>
    </rPh>
    <phoneticPr fontId="1"/>
  </si>
  <si>
    <t>i</t>
    <phoneticPr fontId="1"/>
  </si>
  <si>
    <t>n</t>
    <phoneticPr fontId="1"/>
  </si>
  <si>
    <t>濃縮</t>
    <rPh sb="0" eb="2">
      <t>ノウシュク</t>
    </rPh>
    <phoneticPr fontId="1"/>
  </si>
  <si>
    <t>バイオガス発電</t>
    <rPh sb="5" eb="7">
      <t>ハツデン</t>
    </rPh>
    <phoneticPr fontId="1"/>
  </si>
  <si>
    <t>重力濃縮</t>
    <rPh sb="0" eb="2">
      <t>ジュウリョク</t>
    </rPh>
    <rPh sb="2" eb="4">
      <t>ノウシュク</t>
    </rPh>
    <phoneticPr fontId="1"/>
  </si>
  <si>
    <t>機械</t>
    <rPh sb="0" eb="2">
      <t>キカイ</t>
    </rPh>
    <phoneticPr fontId="1"/>
  </si>
  <si>
    <t>機械濃縮</t>
    <rPh sb="0" eb="4">
      <t>キカイノウシュク</t>
    </rPh>
    <phoneticPr fontId="1"/>
  </si>
  <si>
    <t>脱硫</t>
    <rPh sb="0" eb="2">
      <t>ダツリュウ</t>
    </rPh>
    <phoneticPr fontId="1"/>
  </si>
  <si>
    <t>ガスホルダ</t>
    <phoneticPr fontId="1"/>
  </si>
  <si>
    <t>脱硫・ガスホルダ含む</t>
    <rPh sb="0" eb="2">
      <t>ダツリュウ</t>
    </rPh>
    <rPh sb="8" eb="9">
      <t>フク</t>
    </rPh>
    <phoneticPr fontId="1"/>
  </si>
  <si>
    <t>脱硫・ガスホルダ
含む</t>
    <rPh sb="0" eb="2">
      <t>ダツリュウ</t>
    </rPh>
    <rPh sb="9" eb="10">
      <t>フク</t>
    </rPh>
    <phoneticPr fontId="1"/>
  </si>
  <si>
    <t>百万円</t>
    <rPh sb="0" eb="3">
      <t>ヒャクマンエン</t>
    </rPh>
    <phoneticPr fontId="1"/>
  </si>
  <si>
    <r>
      <t>Y=0.878×g</t>
    </r>
    <r>
      <rPr>
        <vertAlign val="superscript"/>
        <sz val="11"/>
        <color theme="1"/>
        <rFont val="ＭＳ Ｐゴシック"/>
        <family val="3"/>
        <charset val="128"/>
      </rPr>
      <t>0.761</t>
    </r>
    <phoneticPr fontId="1"/>
  </si>
  <si>
    <r>
      <t>Y=10.4×V</t>
    </r>
    <r>
      <rPr>
        <vertAlign val="superscript"/>
        <sz val="11"/>
        <color theme="1"/>
        <rFont val="ＭＳ Ｐゴシック"/>
        <family val="3"/>
        <charset val="128"/>
      </rPr>
      <t>0.437</t>
    </r>
    <phoneticPr fontId="1"/>
  </si>
  <si>
    <t>Y=1.3132x</t>
    <phoneticPr fontId="1"/>
  </si>
  <si>
    <t>Y=0.0263x＋5.8284</t>
    <phoneticPr fontId="1"/>
  </si>
  <si>
    <t>年価</t>
    <rPh sb="0" eb="1">
      <t>ネン</t>
    </rPh>
    <rPh sb="1" eb="2">
      <t>カ</t>
    </rPh>
    <phoneticPr fontId="1"/>
  </si>
  <si>
    <t>重力濃縮</t>
    <rPh sb="0" eb="4">
      <t>ジュウリョクノウシュク</t>
    </rPh>
    <phoneticPr fontId="1"/>
  </si>
  <si>
    <t>電力費</t>
    <rPh sb="0" eb="2">
      <t>デンリョク</t>
    </rPh>
    <rPh sb="2" eb="3">
      <t>ヒ</t>
    </rPh>
    <phoneticPr fontId="1"/>
  </si>
  <si>
    <t>薬品費</t>
    <rPh sb="0" eb="2">
      <t>ヤクヒン</t>
    </rPh>
    <rPh sb="2" eb="3">
      <t>ヒ</t>
    </rPh>
    <phoneticPr fontId="1"/>
  </si>
  <si>
    <t>補修費</t>
    <rPh sb="0" eb="2">
      <t>ホシュウ</t>
    </rPh>
    <rPh sb="2" eb="3">
      <t>ヒ</t>
    </rPh>
    <phoneticPr fontId="1"/>
  </si>
  <si>
    <t>人件費</t>
    <rPh sb="0" eb="3">
      <t>ジンケンヒ</t>
    </rPh>
    <phoneticPr fontId="1"/>
  </si>
  <si>
    <t>上水費</t>
    <rPh sb="0" eb="2">
      <t>ジョウスイ</t>
    </rPh>
    <rPh sb="2" eb="3">
      <t>ヒ</t>
    </rPh>
    <phoneticPr fontId="1"/>
  </si>
  <si>
    <t>電力費縮減</t>
    <rPh sb="0" eb="2">
      <t>デンリョク</t>
    </rPh>
    <rPh sb="2" eb="3">
      <t>ヒ</t>
    </rPh>
    <rPh sb="3" eb="5">
      <t>シュクゲン</t>
    </rPh>
    <phoneticPr fontId="1"/>
  </si>
  <si>
    <t>電力費縮減</t>
    <rPh sb="0" eb="5">
      <t>デンリョクヒシュクゲン</t>
    </rPh>
    <phoneticPr fontId="1"/>
  </si>
  <si>
    <t>電力費</t>
    <rPh sb="0" eb="2">
      <t>デンリョク</t>
    </rPh>
    <rPh sb="2" eb="3">
      <t>ヒ</t>
    </rPh>
    <phoneticPr fontId="1"/>
  </si>
  <si>
    <t>共通</t>
    <rPh sb="0" eb="2">
      <t>キョウツウ</t>
    </rPh>
    <phoneticPr fontId="1"/>
  </si>
  <si>
    <r>
      <t>Y=0.35Q1</t>
    </r>
    <r>
      <rPr>
        <vertAlign val="superscript"/>
        <sz val="11"/>
        <color theme="1"/>
        <rFont val="ＭＳ Ｐゴシック"/>
        <family val="3"/>
        <charset val="128"/>
      </rPr>
      <t>0.628</t>
    </r>
    <phoneticPr fontId="1"/>
  </si>
  <si>
    <r>
      <t>Y=2.7Q1</t>
    </r>
    <r>
      <rPr>
        <vertAlign val="superscript"/>
        <sz val="11"/>
        <color theme="1"/>
        <rFont val="ＭＳ Ｐゴシック"/>
        <family val="3"/>
        <charset val="128"/>
      </rPr>
      <t>0.509</t>
    </r>
    <phoneticPr fontId="1"/>
  </si>
  <si>
    <r>
      <t>Y=1.9Q2</t>
    </r>
    <r>
      <rPr>
        <vertAlign val="superscript"/>
        <sz val="11"/>
        <color theme="1"/>
        <rFont val="ＭＳ Ｐゴシック"/>
        <family val="3"/>
        <charset val="128"/>
      </rPr>
      <t>0.195</t>
    </r>
    <phoneticPr fontId="1"/>
  </si>
  <si>
    <r>
      <t>Y=0.026Q2</t>
    </r>
    <r>
      <rPr>
        <vertAlign val="superscript"/>
        <sz val="11"/>
        <color theme="1"/>
        <rFont val="ＭＳ Ｐゴシック"/>
        <family val="3"/>
        <charset val="128"/>
      </rPr>
      <t>0.771</t>
    </r>
    <phoneticPr fontId="1"/>
  </si>
  <si>
    <t>Y=8.4</t>
    <phoneticPr fontId="1"/>
  </si>
  <si>
    <r>
      <t>Y=0.030×（0.5×Qd0）</t>
    </r>
    <r>
      <rPr>
        <vertAlign val="superscript"/>
        <sz val="11"/>
        <color theme="1"/>
        <rFont val="ＭＳ Ｐゴシック"/>
        <family val="3"/>
        <charset val="128"/>
      </rPr>
      <t>0.628</t>
    </r>
    <phoneticPr fontId="1"/>
  </si>
  <si>
    <r>
      <t>Y=0.661×（0.5×Qd0）</t>
    </r>
    <r>
      <rPr>
        <vertAlign val="superscript"/>
        <sz val="11"/>
        <color theme="1"/>
        <rFont val="ＭＳ Ｐゴシック"/>
        <family val="3"/>
        <charset val="128"/>
      </rPr>
      <t>0.573</t>
    </r>
    <phoneticPr fontId="1"/>
  </si>
  <si>
    <r>
      <t>Y=0.171×（Qd1×365×0.8）</t>
    </r>
    <r>
      <rPr>
        <vertAlign val="superscript"/>
        <sz val="11"/>
        <color theme="1"/>
        <rFont val="ＭＳ Ｐゴシック"/>
        <family val="3"/>
        <charset val="128"/>
      </rPr>
      <t>0.390</t>
    </r>
    <phoneticPr fontId="1"/>
  </si>
  <si>
    <r>
      <t>Y=0.0796×g</t>
    </r>
    <r>
      <rPr>
        <vertAlign val="superscript"/>
        <sz val="11"/>
        <color theme="1"/>
        <rFont val="ＭＳ Ｐゴシック"/>
        <family val="3"/>
        <charset val="128"/>
      </rPr>
      <t>0.761</t>
    </r>
    <phoneticPr fontId="1"/>
  </si>
  <si>
    <r>
      <t>Y=0.283×V</t>
    </r>
    <r>
      <rPr>
        <vertAlign val="superscript"/>
        <sz val="11"/>
        <color theme="1"/>
        <rFont val="ＭＳ Ｐゴシック"/>
        <family val="3"/>
        <charset val="128"/>
      </rPr>
      <t>0.302</t>
    </r>
    <phoneticPr fontId="1"/>
  </si>
  <si>
    <r>
      <t>Y=0.039×（Qd2×365×0.8）</t>
    </r>
    <r>
      <rPr>
        <vertAlign val="superscript"/>
        <sz val="11"/>
        <color theme="1"/>
        <rFont val="ＭＳ Ｐゴシック"/>
        <family val="3"/>
        <charset val="128"/>
      </rPr>
      <t>0.596</t>
    </r>
    <phoneticPr fontId="1"/>
  </si>
  <si>
    <t>Y=0.0579x</t>
    <phoneticPr fontId="1"/>
  </si>
  <si>
    <t>消化なし</t>
    <rPh sb="0" eb="2">
      <t>ショウカ</t>
    </rPh>
    <phoneticPr fontId="1"/>
  </si>
  <si>
    <t>消化あり・発電なし</t>
    <rPh sb="0" eb="2">
      <t>ショウカ</t>
    </rPh>
    <rPh sb="5" eb="7">
      <t>ハツデン</t>
    </rPh>
    <phoneticPr fontId="1"/>
  </si>
  <si>
    <t>要素技術（濃縮・消化）</t>
    <rPh sb="0" eb="2">
      <t>ヨウソ</t>
    </rPh>
    <rPh sb="2" eb="4">
      <t>ギジュツ</t>
    </rPh>
    <rPh sb="5" eb="7">
      <t>ノウシュク</t>
    </rPh>
    <rPh sb="8" eb="10">
      <t>ショウカ</t>
    </rPh>
    <phoneticPr fontId="1"/>
  </si>
  <si>
    <t>水素なし</t>
    <rPh sb="0" eb="2">
      <t>スイソ</t>
    </rPh>
    <phoneticPr fontId="1"/>
  </si>
  <si>
    <t>水素あり</t>
    <rPh sb="0" eb="2">
      <t>スイソ</t>
    </rPh>
    <phoneticPr fontId="1"/>
  </si>
  <si>
    <t>GJ/年</t>
    <rPh sb="3" eb="4">
      <t>ネン</t>
    </rPh>
    <phoneticPr fontId="1"/>
  </si>
  <si>
    <t>高濃度消化</t>
    <rPh sb="0" eb="5">
      <t>コウノウドショウカ</t>
    </rPh>
    <phoneticPr fontId="1"/>
  </si>
  <si>
    <t>省エネ型バイオガス精製</t>
    <rPh sb="0" eb="1">
      <t>ショウ</t>
    </rPh>
    <rPh sb="3" eb="4">
      <t>ガタ</t>
    </rPh>
    <rPh sb="9" eb="11">
      <t>セイセイ</t>
    </rPh>
    <phoneticPr fontId="1"/>
  </si>
  <si>
    <t>小規模水素製造・供給</t>
    <rPh sb="0" eb="7">
      <t>ショウキボスイソセイゾウ</t>
    </rPh>
    <rPh sb="8" eb="10">
      <t>キョウキュウ</t>
    </rPh>
    <phoneticPr fontId="1"/>
  </si>
  <si>
    <t>水素供給</t>
    <rPh sb="0" eb="2">
      <t>スイソ</t>
    </rPh>
    <rPh sb="2" eb="4">
      <t>キョウキュウ</t>
    </rPh>
    <phoneticPr fontId="1"/>
  </si>
  <si>
    <r>
      <t>Y=428Q1</t>
    </r>
    <r>
      <rPr>
        <vertAlign val="superscript"/>
        <sz val="11"/>
        <color theme="1"/>
        <rFont val="ＭＳ Ｐゴシック"/>
        <family val="3"/>
        <charset val="128"/>
      </rPr>
      <t>0.889</t>
    </r>
    <phoneticPr fontId="1"/>
  </si>
  <si>
    <r>
      <t>Y=359Q2</t>
    </r>
    <r>
      <rPr>
        <vertAlign val="superscript"/>
        <sz val="11"/>
        <color theme="1"/>
        <rFont val="ＭＳ Ｐゴシック"/>
        <family val="3"/>
        <charset val="128"/>
      </rPr>
      <t>0.285</t>
    </r>
    <phoneticPr fontId="1"/>
  </si>
  <si>
    <t>Y=5.3Q2</t>
    <phoneticPr fontId="1"/>
  </si>
  <si>
    <r>
      <t>Y=428Q1</t>
    </r>
    <r>
      <rPr>
        <vertAlign val="superscript"/>
        <sz val="11"/>
        <color theme="1"/>
        <rFont val="ＭＳ Ｐゴシック"/>
        <family val="3"/>
        <charset val="128"/>
      </rPr>
      <t>0.889</t>
    </r>
    <phoneticPr fontId="1"/>
  </si>
  <si>
    <t>Y=562</t>
    <phoneticPr fontId="1"/>
  </si>
  <si>
    <r>
      <t>Y=5.0Q2</t>
    </r>
    <r>
      <rPr>
        <vertAlign val="superscript"/>
        <sz val="11"/>
        <color theme="1"/>
        <rFont val="ＭＳ Ｐゴシック"/>
        <family val="3"/>
        <charset val="128"/>
      </rPr>
      <t>1.007</t>
    </r>
    <phoneticPr fontId="1"/>
  </si>
  <si>
    <t>Y=65.8</t>
    <phoneticPr fontId="1"/>
  </si>
  <si>
    <t>脱水
（革新的技術との差分）</t>
    <rPh sb="0" eb="2">
      <t>ダッスイ</t>
    </rPh>
    <rPh sb="4" eb="9">
      <t>カクシンテキギジュツ</t>
    </rPh>
    <rPh sb="11" eb="12">
      <t>サ</t>
    </rPh>
    <rPh sb="12" eb="13">
      <t>ブン</t>
    </rPh>
    <phoneticPr fontId="1"/>
  </si>
  <si>
    <t>排出</t>
    <rPh sb="0" eb="2">
      <t>ハイシュツ</t>
    </rPh>
    <phoneticPr fontId="1"/>
  </si>
  <si>
    <t>電力</t>
    <rPh sb="0" eb="2">
      <t>デンリョク</t>
    </rPh>
    <phoneticPr fontId="1"/>
  </si>
  <si>
    <t>排出削減</t>
    <rPh sb="0" eb="2">
      <t>ハイシュツ</t>
    </rPh>
    <rPh sb="2" eb="4">
      <t>サクゲン</t>
    </rPh>
    <phoneticPr fontId="1"/>
  </si>
  <si>
    <t>上水</t>
    <rPh sb="0" eb="2">
      <t>ジョウスイ</t>
    </rPh>
    <phoneticPr fontId="1"/>
  </si>
  <si>
    <t>高分子凝集剤</t>
    <rPh sb="0" eb="3">
      <t>コウブンシ</t>
    </rPh>
    <rPh sb="3" eb="5">
      <t>ギョウシュウ</t>
    </rPh>
    <rPh sb="5" eb="6">
      <t>ザイ</t>
    </rPh>
    <phoneticPr fontId="1"/>
  </si>
  <si>
    <t>ポリ硫酸第二鉄</t>
    <rPh sb="2" eb="4">
      <t>リュウサン</t>
    </rPh>
    <rPh sb="4" eb="7">
      <t>ダイニテツ</t>
    </rPh>
    <phoneticPr fontId="1"/>
  </si>
  <si>
    <t>活性炭</t>
    <rPh sb="0" eb="3">
      <t>カッセイタン</t>
    </rPh>
    <phoneticPr fontId="1"/>
  </si>
  <si>
    <t>排出</t>
    <rPh sb="0" eb="2">
      <t>ハイシュツ</t>
    </rPh>
    <phoneticPr fontId="1"/>
  </si>
  <si>
    <t>排出削減</t>
    <rPh sb="0" eb="4">
      <t>ハイシュツサクゲン</t>
    </rPh>
    <phoneticPr fontId="1"/>
  </si>
  <si>
    <t>エネルギー収支
（創出量－消費量）</t>
    <rPh sb="5" eb="7">
      <t>シュウシ</t>
    </rPh>
    <rPh sb="9" eb="11">
      <t>ソウシュツ</t>
    </rPh>
    <rPh sb="11" eb="12">
      <t>リョウ</t>
    </rPh>
    <rPh sb="13" eb="16">
      <t>ショウヒリョウ</t>
    </rPh>
    <phoneticPr fontId="1"/>
  </si>
  <si>
    <t>消費量</t>
    <rPh sb="0" eb="3">
      <t>ショウヒリョウ</t>
    </rPh>
    <phoneticPr fontId="1"/>
  </si>
  <si>
    <t>創出量</t>
    <rPh sb="0" eb="2">
      <t>ソウシュツ</t>
    </rPh>
    <rPh sb="2" eb="3">
      <t>リョウ</t>
    </rPh>
    <phoneticPr fontId="1"/>
  </si>
  <si>
    <t>創出量</t>
    <rPh sb="0" eb="3">
      <t>ソウシュツリョウ</t>
    </rPh>
    <phoneticPr fontId="1"/>
  </si>
  <si>
    <t>要素技術（高濃度消化）</t>
    <rPh sb="0" eb="2">
      <t>ヨウソ</t>
    </rPh>
    <rPh sb="2" eb="4">
      <t>ギジュツ</t>
    </rPh>
    <rPh sb="5" eb="10">
      <t>コウノウドショウカ</t>
    </rPh>
    <phoneticPr fontId="1"/>
  </si>
  <si>
    <t>総額</t>
    <rPh sb="0" eb="2">
      <t>ソウガク</t>
    </rPh>
    <phoneticPr fontId="1"/>
  </si>
  <si>
    <t>消化あり</t>
    <rPh sb="0" eb="2">
      <t>ショウカ</t>
    </rPh>
    <phoneticPr fontId="1"/>
  </si>
  <si>
    <t>従来技術</t>
    <rPh sb="0" eb="2">
      <t>ジュウライ</t>
    </rPh>
    <rPh sb="2" eb="4">
      <t>ギジュツ</t>
    </rPh>
    <phoneticPr fontId="1"/>
  </si>
  <si>
    <t>総費用
（年価換算値）</t>
    <rPh sb="0" eb="3">
      <t>ソウヒヨウ</t>
    </rPh>
    <rPh sb="5" eb="6">
      <t>ネン</t>
    </rPh>
    <rPh sb="6" eb="7">
      <t>カ</t>
    </rPh>
    <rPh sb="7" eb="9">
      <t>カンザン</t>
    </rPh>
    <rPh sb="9" eb="10">
      <t>チ</t>
    </rPh>
    <phoneticPr fontId="1"/>
  </si>
  <si>
    <r>
      <t>CO</t>
    </r>
    <r>
      <rPr>
        <vertAlign val="subscript"/>
        <sz val="11"/>
        <color theme="1"/>
        <rFont val="ＭＳ Ｐゴシック"/>
        <family val="3"/>
        <charset val="128"/>
      </rPr>
      <t>2</t>
    </r>
    <r>
      <rPr>
        <sz val="11"/>
        <color theme="1"/>
        <rFont val="ＭＳ Ｐゴシック"/>
        <family val="2"/>
        <charset val="128"/>
      </rPr>
      <t>収支
（排出量－排出削減量）</t>
    </r>
    <rPh sb="3" eb="5">
      <t>シュウシ</t>
    </rPh>
    <rPh sb="7" eb="9">
      <t>ハイシュツ</t>
    </rPh>
    <rPh sb="9" eb="10">
      <t>リョウ</t>
    </rPh>
    <rPh sb="11" eb="13">
      <t>ハイシュツ</t>
    </rPh>
    <rPh sb="13" eb="15">
      <t>サクゲン</t>
    </rPh>
    <rPh sb="15" eb="16">
      <t>リョウ</t>
    </rPh>
    <phoneticPr fontId="1"/>
  </si>
  <si>
    <t>GJ/年</t>
    <rPh sb="3" eb="4">
      <t>ネン</t>
    </rPh>
    <phoneticPr fontId="1"/>
  </si>
  <si>
    <r>
      <t>t-CO</t>
    </r>
    <r>
      <rPr>
        <vertAlign val="subscript"/>
        <sz val="11"/>
        <color theme="1"/>
        <rFont val="ＭＳ Ｐゴシック"/>
        <family val="3"/>
        <charset val="128"/>
      </rPr>
      <t>2</t>
    </r>
    <r>
      <rPr>
        <sz val="11"/>
        <color theme="1"/>
        <rFont val="ＭＳ Ｐゴシック"/>
        <family val="2"/>
        <charset val="128"/>
      </rPr>
      <t>/年</t>
    </r>
    <rPh sb="6" eb="7">
      <t>ネン</t>
    </rPh>
    <phoneticPr fontId="1"/>
  </si>
  <si>
    <t>算定結果</t>
    <rPh sb="0" eb="2">
      <t>サンテイ</t>
    </rPh>
    <rPh sb="2" eb="4">
      <t>ケッカ</t>
    </rPh>
    <phoneticPr fontId="1"/>
  </si>
  <si>
    <t>％</t>
    <phoneticPr fontId="1"/>
  </si>
  <si>
    <r>
      <t>m</t>
    </r>
    <r>
      <rPr>
        <vertAlign val="superscript"/>
        <sz val="11"/>
        <color theme="1"/>
        <rFont val="ＭＳ Ｐゴシック"/>
        <family val="3"/>
        <charset val="128"/>
      </rPr>
      <t>3</t>
    </r>
    <r>
      <rPr>
        <sz val="11"/>
        <color theme="1"/>
        <rFont val="ＭＳ Ｐゴシック"/>
        <family val="2"/>
        <charset val="128"/>
      </rPr>
      <t>/日</t>
    </r>
    <rPh sb="3" eb="4">
      <t>ニチ</t>
    </rPh>
    <phoneticPr fontId="1"/>
  </si>
  <si>
    <t>年</t>
    <rPh sb="0" eb="1">
      <t>ネン</t>
    </rPh>
    <phoneticPr fontId="1"/>
  </si>
  <si>
    <t>利子率</t>
    <rPh sb="0" eb="2">
      <t>リシ</t>
    </rPh>
    <rPh sb="2" eb="3">
      <t>リツ</t>
    </rPh>
    <phoneticPr fontId="1"/>
  </si>
  <si>
    <t>耐用年数</t>
    <rPh sb="0" eb="2">
      <t>タイヨウ</t>
    </rPh>
    <rPh sb="2" eb="4">
      <t>ネンスウ</t>
    </rPh>
    <phoneticPr fontId="1"/>
  </si>
  <si>
    <r>
      <t>m</t>
    </r>
    <r>
      <rPr>
        <vertAlign val="superscript"/>
        <sz val="11"/>
        <color theme="1"/>
        <rFont val="ＭＳ Ｐゴシック"/>
        <family val="3"/>
        <charset val="128"/>
      </rPr>
      <t>3</t>
    </r>
    <r>
      <rPr>
        <sz val="11"/>
        <color theme="1"/>
        <rFont val="ＭＳ Ｐゴシック"/>
        <family val="2"/>
        <charset val="128"/>
      </rPr>
      <t>/時</t>
    </r>
    <rPh sb="3" eb="4">
      <t>ジ</t>
    </rPh>
    <phoneticPr fontId="1"/>
  </si>
  <si>
    <r>
      <t>m</t>
    </r>
    <r>
      <rPr>
        <vertAlign val="superscript"/>
        <sz val="11"/>
        <color theme="1"/>
        <rFont val="ＭＳ Ｐゴシック"/>
        <family val="3"/>
        <charset val="128"/>
      </rPr>
      <t>3</t>
    </r>
    <phoneticPr fontId="1"/>
  </si>
  <si>
    <t>kW</t>
    <phoneticPr fontId="1"/>
  </si>
  <si>
    <t>脱硫装置バイオガス処理能力</t>
    <rPh sb="0" eb="2">
      <t>ダツリュウ</t>
    </rPh>
    <rPh sb="2" eb="4">
      <t>ソウチ</t>
    </rPh>
    <rPh sb="9" eb="11">
      <t>ショリ</t>
    </rPh>
    <rPh sb="11" eb="13">
      <t>ノウリョク</t>
    </rPh>
    <phoneticPr fontId="1"/>
  </si>
  <si>
    <t>ガスホルダ貯留容量</t>
    <rPh sb="5" eb="7">
      <t>チョリュウ</t>
    </rPh>
    <rPh sb="7" eb="9">
      <t>ヨウリョウ</t>
    </rPh>
    <phoneticPr fontId="1"/>
  </si>
  <si>
    <t>総発電施設規模</t>
    <rPh sb="0" eb="1">
      <t>ソウ</t>
    </rPh>
    <rPh sb="1" eb="3">
      <t>ハツデン</t>
    </rPh>
    <rPh sb="3" eb="5">
      <t>シセツ</t>
    </rPh>
    <rPh sb="5" eb="7">
      <t>キボ</t>
    </rPh>
    <phoneticPr fontId="1"/>
  </si>
  <si>
    <t>t-ds/日</t>
  </si>
  <si>
    <r>
      <t>Nm</t>
    </r>
    <r>
      <rPr>
        <vertAlign val="superscript"/>
        <sz val="11"/>
        <color theme="1"/>
        <rFont val="ＭＳ Ｐゴシック"/>
        <family val="3"/>
        <charset val="128"/>
      </rPr>
      <t>3</t>
    </r>
    <r>
      <rPr>
        <sz val="11"/>
        <color theme="1"/>
        <rFont val="ＭＳ Ｐゴシック"/>
        <family val="2"/>
        <charset val="128"/>
      </rPr>
      <t>/日</t>
    </r>
    <rPh sb="4" eb="5">
      <t>ニチ</t>
    </rPh>
    <phoneticPr fontId="1"/>
  </si>
  <si>
    <t>日最大バイオガス発生量</t>
    <rPh sb="0" eb="1">
      <t>ニチ</t>
    </rPh>
    <rPh sb="1" eb="3">
      <t>サイダイ</t>
    </rPh>
    <rPh sb="8" eb="10">
      <t>ハッセイ</t>
    </rPh>
    <rPh sb="10" eb="11">
      <t>リョウ</t>
    </rPh>
    <phoneticPr fontId="1"/>
  </si>
  <si>
    <t>Q1≦25</t>
    <phoneticPr fontId="1"/>
  </si>
  <si>
    <t>1,292≦Q2≦3,230</t>
    <phoneticPr fontId="1"/>
  </si>
  <si>
    <t>濃縮後日最大汚泥量</t>
    <rPh sb="0" eb="2">
      <t>ノウシュク</t>
    </rPh>
    <rPh sb="2" eb="3">
      <t>ゴ</t>
    </rPh>
    <rPh sb="3" eb="4">
      <t>ニチ</t>
    </rPh>
    <rPh sb="4" eb="6">
      <t>サイダイ</t>
    </rPh>
    <rPh sb="6" eb="8">
      <t>オデイ</t>
    </rPh>
    <rPh sb="8" eb="9">
      <t>リョウ</t>
    </rPh>
    <phoneticPr fontId="1"/>
  </si>
  <si>
    <t>1％換算</t>
    <rPh sb="2" eb="4">
      <t>カンザン</t>
    </rPh>
    <phoneticPr fontId="1"/>
  </si>
  <si>
    <t>日最大脱水投入汚泥量</t>
    <rPh sb="0" eb="1">
      <t>ニチ</t>
    </rPh>
    <rPh sb="1" eb="3">
      <t>サイダイ</t>
    </rPh>
    <rPh sb="3" eb="5">
      <t>ダッスイ</t>
    </rPh>
    <rPh sb="5" eb="7">
      <t>トウニュウ</t>
    </rPh>
    <rPh sb="7" eb="9">
      <t>オデイ</t>
    </rPh>
    <rPh sb="9" eb="10">
      <t>リョウ</t>
    </rPh>
    <phoneticPr fontId="1"/>
  </si>
  <si>
    <t>日最大バイオガス発生量の半日分</t>
    <rPh sb="0" eb="1">
      <t>ニチ</t>
    </rPh>
    <rPh sb="1" eb="3">
      <t>サイダイ</t>
    </rPh>
    <rPh sb="8" eb="10">
      <t>ハッセイ</t>
    </rPh>
    <rPh sb="10" eb="11">
      <t>リョウ</t>
    </rPh>
    <rPh sb="12" eb="14">
      <t>ハンニチ</t>
    </rPh>
    <rPh sb="14" eb="15">
      <t>ブン</t>
    </rPh>
    <phoneticPr fontId="1"/>
  </si>
  <si>
    <r>
      <t>Y=0.0131×（0.5×Qd0）</t>
    </r>
    <r>
      <rPr>
        <vertAlign val="superscript"/>
        <sz val="11"/>
        <color theme="1"/>
        <rFont val="ＭＳ Ｐゴシック"/>
        <family val="3"/>
        <charset val="128"/>
      </rPr>
      <t>0.611</t>
    </r>
    <r>
      <rPr>
        <sz val="11"/>
        <color theme="1"/>
        <rFont val="ＭＳ Ｐゴシック"/>
        <family val="2"/>
        <charset val="128"/>
      </rPr>
      <t>×100</t>
    </r>
    <phoneticPr fontId="1"/>
  </si>
  <si>
    <r>
      <t>Y=0.0124×（0.5×Qd0）</t>
    </r>
    <r>
      <rPr>
        <vertAlign val="superscript"/>
        <sz val="11"/>
        <color theme="1"/>
        <rFont val="ＭＳ Ｐゴシック"/>
        <family val="3"/>
        <charset val="128"/>
      </rPr>
      <t>0.598</t>
    </r>
    <r>
      <rPr>
        <sz val="11"/>
        <color theme="1"/>
        <rFont val="ＭＳ Ｐゴシック"/>
        <family val="2"/>
        <charset val="128"/>
      </rPr>
      <t>×100</t>
    </r>
    <phoneticPr fontId="1"/>
  </si>
  <si>
    <r>
      <t>Y=0.438×（0.5×Qd0）</t>
    </r>
    <r>
      <rPr>
        <vertAlign val="superscript"/>
        <sz val="11"/>
        <color theme="1"/>
        <rFont val="ＭＳ Ｐゴシック"/>
        <family val="3"/>
        <charset val="128"/>
      </rPr>
      <t>0.422</t>
    </r>
    <r>
      <rPr>
        <sz val="11"/>
        <color theme="1"/>
        <rFont val="ＭＳ Ｐゴシック"/>
        <family val="2"/>
        <charset val="128"/>
      </rPr>
      <t>×100</t>
    </r>
    <phoneticPr fontId="1"/>
  </si>
  <si>
    <r>
      <t>Y=0.340×（0.5×Qd0）</t>
    </r>
    <r>
      <rPr>
        <vertAlign val="superscript"/>
        <sz val="11"/>
        <color theme="1"/>
        <rFont val="ＭＳ Ｐゴシック"/>
        <family val="3"/>
        <charset val="128"/>
      </rPr>
      <t>0.259</t>
    </r>
    <r>
      <rPr>
        <sz val="11"/>
        <color theme="1"/>
        <rFont val="ＭＳ Ｐゴシック"/>
        <family val="2"/>
        <charset val="128"/>
      </rPr>
      <t>×100</t>
    </r>
    <phoneticPr fontId="1"/>
  </si>
  <si>
    <r>
      <t>Y=0.516×Qd1</t>
    </r>
    <r>
      <rPr>
        <vertAlign val="superscript"/>
        <sz val="11"/>
        <color theme="1"/>
        <rFont val="ＭＳ Ｐゴシック"/>
        <family val="3"/>
        <charset val="128"/>
      </rPr>
      <t>0.385</t>
    </r>
    <r>
      <rPr>
        <sz val="11"/>
        <color theme="1"/>
        <rFont val="ＭＳ Ｐゴシック"/>
        <family val="2"/>
        <charset val="128"/>
      </rPr>
      <t>×100</t>
    </r>
    <phoneticPr fontId="1"/>
  </si>
  <si>
    <r>
      <t>Y=0.169×Qd1</t>
    </r>
    <r>
      <rPr>
        <vertAlign val="superscript"/>
        <sz val="11"/>
        <color theme="1"/>
        <rFont val="ＭＳ Ｐゴシック"/>
        <family val="3"/>
        <charset val="128"/>
      </rPr>
      <t>0.539</t>
    </r>
    <r>
      <rPr>
        <sz val="11"/>
        <color theme="1"/>
        <rFont val="ＭＳ Ｐゴシック"/>
        <family val="2"/>
        <charset val="128"/>
      </rPr>
      <t>×100</t>
    </r>
    <phoneticPr fontId="1"/>
  </si>
  <si>
    <r>
      <t>Y=0.434×Qd2</t>
    </r>
    <r>
      <rPr>
        <vertAlign val="superscript"/>
        <sz val="11"/>
        <color theme="1"/>
        <rFont val="ＭＳ Ｐゴシック"/>
        <family val="3"/>
        <charset val="128"/>
      </rPr>
      <t>0.373</t>
    </r>
    <r>
      <rPr>
        <sz val="11"/>
        <color theme="1"/>
        <rFont val="ＭＳ Ｐゴシック"/>
        <family val="2"/>
        <charset val="128"/>
      </rPr>
      <t>×100</t>
    </r>
    <phoneticPr fontId="1"/>
  </si>
  <si>
    <r>
      <t>Y=0.227×Qd2</t>
    </r>
    <r>
      <rPr>
        <vertAlign val="superscript"/>
        <sz val="11"/>
        <color theme="1"/>
        <rFont val="ＭＳ Ｐゴシック"/>
        <family val="3"/>
        <charset val="128"/>
      </rPr>
      <t>0.444</t>
    </r>
    <r>
      <rPr>
        <sz val="11"/>
        <color theme="1"/>
        <rFont val="ＭＳ Ｐゴシック"/>
        <family val="2"/>
        <charset val="128"/>
      </rPr>
      <t>×100</t>
    </r>
    <phoneticPr fontId="1"/>
  </si>
  <si>
    <t>脱水／消化なし
（革新的技術との差分）</t>
    <rPh sb="0" eb="2">
      <t>ダッスイ</t>
    </rPh>
    <rPh sb="3" eb="5">
      <t>ショウカ</t>
    </rPh>
    <rPh sb="9" eb="14">
      <t>カクシンテキギジュツ</t>
    </rPh>
    <rPh sb="16" eb="17">
      <t>サ</t>
    </rPh>
    <rPh sb="17" eb="18">
      <t>ブン</t>
    </rPh>
    <phoneticPr fontId="1"/>
  </si>
  <si>
    <t>脱水／消化あり
（革新的技術との差分）</t>
    <rPh sb="0" eb="2">
      <t>ダッスイ</t>
    </rPh>
    <rPh sb="3" eb="5">
      <t>ショウカ</t>
    </rPh>
    <rPh sb="9" eb="14">
      <t>カクシンテキギジュツ</t>
    </rPh>
    <rPh sb="16" eb="17">
      <t>サ</t>
    </rPh>
    <rPh sb="17" eb="18">
      <t>ブン</t>
    </rPh>
    <phoneticPr fontId="1"/>
  </si>
  <si>
    <t>機械・電気（鋼板製消化槽本体）</t>
    <rPh sb="0" eb="2">
      <t>キカイ</t>
    </rPh>
    <rPh sb="3" eb="5">
      <t>デンキ</t>
    </rPh>
    <rPh sb="6" eb="8">
      <t>コウハン</t>
    </rPh>
    <rPh sb="8" eb="9">
      <t>セイ</t>
    </rPh>
    <rPh sb="9" eb="11">
      <t>ショウカ</t>
    </rPh>
    <rPh sb="11" eb="12">
      <t>ソウ</t>
    </rPh>
    <rPh sb="12" eb="14">
      <t>ホンタイ</t>
    </rPh>
    <phoneticPr fontId="1"/>
  </si>
  <si>
    <t>百万円
・
百万円/年</t>
    <rPh sb="0" eb="3">
      <t>ヒャクマンエン</t>
    </rPh>
    <rPh sb="6" eb="9">
      <t>ヒャクマンエン</t>
    </rPh>
    <rPh sb="10" eb="11">
      <t>ネン</t>
    </rPh>
    <phoneticPr fontId="1"/>
  </si>
  <si>
    <t>－</t>
    <phoneticPr fontId="1"/>
  </si>
  <si>
    <t>日最大バイオガス発生量÷24</t>
    <rPh sb="0" eb="1">
      <t>ニチ</t>
    </rPh>
    <rPh sb="1" eb="3">
      <t>サイダイ</t>
    </rPh>
    <rPh sb="8" eb="10">
      <t>ハッセイ</t>
    </rPh>
    <rPh sb="10" eb="11">
      <t>リョウ</t>
    </rPh>
    <phoneticPr fontId="1"/>
  </si>
  <si>
    <t>脱水／消化なし（革新的技術との差分）</t>
    <rPh sb="0" eb="2">
      <t>ダッスイ</t>
    </rPh>
    <rPh sb="3" eb="5">
      <t>ショウカ</t>
    </rPh>
    <rPh sb="8" eb="13">
      <t>カクシンテキギジュツ</t>
    </rPh>
    <rPh sb="15" eb="16">
      <t>サ</t>
    </rPh>
    <rPh sb="16" eb="17">
      <t>ブン</t>
    </rPh>
    <phoneticPr fontId="1"/>
  </si>
  <si>
    <t>脱水／消化あり（革新的技術との差分）</t>
    <rPh sb="0" eb="2">
      <t>ダッスイ</t>
    </rPh>
    <rPh sb="3" eb="5">
      <t>ショウカ</t>
    </rPh>
    <rPh sb="8" eb="13">
      <t>カクシンテキギジュツ</t>
    </rPh>
    <rPh sb="15" eb="16">
      <t>サ</t>
    </rPh>
    <rPh sb="16" eb="17">
      <t>ブン</t>
    </rPh>
    <phoneticPr fontId="1"/>
  </si>
  <si>
    <t>脱水汚泥処分費／消化なし
（革新的技術との差分）</t>
    <rPh sb="0" eb="2">
      <t>ダッスイ</t>
    </rPh>
    <rPh sb="2" eb="4">
      <t>オデイ</t>
    </rPh>
    <rPh sb="4" eb="6">
      <t>ショブン</t>
    </rPh>
    <rPh sb="6" eb="7">
      <t>ヒ</t>
    </rPh>
    <rPh sb="8" eb="10">
      <t>ショウカ</t>
    </rPh>
    <rPh sb="14" eb="19">
      <t>カクシンテキギジュツ</t>
    </rPh>
    <rPh sb="21" eb="22">
      <t>サ</t>
    </rPh>
    <rPh sb="22" eb="23">
      <t>ブン</t>
    </rPh>
    <phoneticPr fontId="1"/>
  </si>
  <si>
    <t>脱水汚泥処分費／消化あり
（革新的技術との差分）</t>
    <rPh sb="0" eb="2">
      <t>ダッスイ</t>
    </rPh>
    <rPh sb="2" eb="4">
      <t>オデイ</t>
    </rPh>
    <rPh sb="4" eb="6">
      <t>ショブン</t>
    </rPh>
    <rPh sb="6" eb="7">
      <t>ヒ</t>
    </rPh>
    <rPh sb="8" eb="10">
      <t>ショウカ</t>
    </rPh>
    <rPh sb="14" eb="19">
      <t>カクシンテキギジュツ</t>
    </rPh>
    <rPh sb="21" eb="22">
      <t>サ</t>
    </rPh>
    <rPh sb="22" eb="23">
      <t>ブン</t>
    </rPh>
    <phoneticPr fontId="1"/>
  </si>
  <si>
    <t>バイオガス発電　電力費縮減額</t>
    <rPh sb="5" eb="7">
      <t>ハツデン</t>
    </rPh>
    <rPh sb="8" eb="10">
      <t>デンリョク</t>
    </rPh>
    <rPh sb="10" eb="11">
      <t>ヒ</t>
    </rPh>
    <rPh sb="11" eb="13">
      <t>シュクゲン</t>
    </rPh>
    <rPh sb="13" eb="14">
      <t>ガク</t>
    </rPh>
    <phoneticPr fontId="1"/>
  </si>
  <si>
    <t>薬品費は高濃度濃縮工程のみ計上</t>
    <rPh sb="0" eb="2">
      <t>ヤクヒン</t>
    </rPh>
    <rPh sb="2" eb="3">
      <t>ヒ</t>
    </rPh>
    <rPh sb="4" eb="7">
      <t>コウノウド</t>
    </rPh>
    <rPh sb="7" eb="9">
      <t>ノウシュク</t>
    </rPh>
    <rPh sb="9" eb="11">
      <t>コウテイ</t>
    </rPh>
    <rPh sb="13" eb="15">
      <t>ケイジョウ</t>
    </rPh>
    <phoneticPr fontId="1"/>
  </si>
  <si>
    <t>Y=7×（0.5×Qd0×0.8）×0.01×9.484×365/1000</t>
    <phoneticPr fontId="1"/>
  </si>
  <si>
    <t>Y=212×（0.5×Qd0×0.8）×0.01×9.484×365/1000</t>
    <phoneticPr fontId="1"/>
  </si>
  <si>
    <t>Y=5.3×（Qd1*0.8/3.3）×9.484×365/1000</t>
    <phoneticPr fontId="1"/>
  </si>
  <si>
    <t>排出削減</t>
    <rPh sb="0" eb="2">
      <t>ハイシュツ</t>
    </rPh>
    <rPh sb="2" eb="4">
      <t>サクゲン</t>
    </rPh>
    <phoneticPr fontId="1"/>
  </si>
  <si>
    <t>Y=Qd1/100×0.8×0.8×500×21.5
×0.32×0.9/3.6×355×9.484/1000</t>
    <phoneticPr fontId="1"/>
  </si>
  <si>
    <r>
      <t>直接脱水：
Y=1575.4×（Qd2/100×0.8×365）</t>
    </r>
    <r>
      <rPr>
        <vertAlign val="superscript"/>
        <sz val="8"/>
        <color theme="1"/>
        <rFont val="ＭＳ Ｐゴシック"/>
        <family val="3"/>
        <charset val="128"/>
      </rPr>
      <t>0.6723</t>
    </r>
    <r>
      <rPr>
        <sz val="8"/>
        <color theme="1"/>
        <rFont val="ＭＳ Ｐゴシック"/>
        <family val="3"/>
        <charset val="128"/>
      </rPr>
      <t>×9.484/1000
消化脱水：
Y=62.631×（Qd2/100×0.8×365）</t>
    </r>
    <r>
      <rPr>
        <vertAlign val="superscript"/>
        <sz val="8"/>
        <color theme="1"/>
        <rFont val="ＭＳ Ｐゴシック"/>
        <family val="3"/>
        <charset val="128"/>
      </rPr>
      <t>1.2091</t>
    </r>
    <r>
      <rPr>
        <sz val="8"/>
        <color theme="1"/>
        <rFont val="ＭＳ Ｐゴシック"/>
        <family val="3"/>
        <charset val="128"/>
      </rPr>
      <t>×9.484/1000</t>
    </r>
    <rPh sb="0" eb="2">
      <t>チョクセツ</t>
    </rPh>
    <rPh sb="2" eb="4">
      <t>ダッスイ</t>
    </rPh>
    <rPh sb="50" eb="52">
      <t>ショウカ</t>
    </rPh>
    <rPh sb="52" eb="54">
      <t>ダッスイ</t>
    </rPh>
    <phoneticPr fontId="1"/>
  </si>
  <si>
    <t>電力</t>
    <rPh sb="0" eb="2">
      <t>デンリョク</t>
    </rPh>
    <phoneticPr fontId="1"/>
  </si>
  <si>
    <r>
      <t>t-CO</t>
    </r>
    <r>
      <rPr>
        <vertAlign val="subscript"/>
        <sz val="11"/>
        <color theme="1"/>
        <rFont val="ＭＳ Ｐゴシック"/>
        <family val="3"/>
        <charset val="128"/>
      </rPr>
      <t>2</t>
    </r>
    <r>
      <rPr>
        <sz val="11"/>
        <color theme="1"/>
        <rFont val="ＭＳ Ｐゴシック"/>
        <family val="2"/>
        <charset val="128"/>
      </rPr>
      <t>/年</t>
    </r>
    <rPh sb="6" eb="7">
      <t>ネン</t>
    </rPh>
    <phoneticPr fontId="1"/>
  </si>
  <si>
    <t>高分子凝集剤は機械濃縮工程のみ計上</t>
    <rPh sb="0" eb="6">
      <t>コウブンシギョウシュウザイ</t>
    </rPh>
    <rPh sb="7" eb="9">
      <t>キカイ</t>
    </rPh>
    <rPh sb="9" eb="11">
      <t>ノウシュク</t>
    </rPh>
    <rPh sb="11" eb="13">
      <t>コウテイ</t>
    </rPh>
    <rPh sb="15" eb="17">
      <t>ケイジョウ</t>
    </rPh>
    <phoneticPr fontId="1"/>
  </si>
  <si>
    <t>高分子凝集剤は高濃度濃縮工程のみ計上</t>
    <rPh sb="0" eb="6">
      <t>コウブンシギョウシュウザイ</t>
    </rPh>
    <rPh sb="7" eb="10">
      <t>コウノウド</t>
    </rPh>
    <rPh sb="10" eb="12">
      <t>ノウシュク</t>
    </rPh>
    <rPh sb="12" eb="14">
      <t>コウテイ</t>
    </rPh>
    <rPh sb="16" eb="18">
      <t>ケイジョウ</t>
    </rPh>
    <phoneticPr fontId="1"/>
  </si>
  <si>
    <r>
      <t>【CO</t>
    </r>
    <r>
      <rPr>
        <vertAlign val="subscript"/>
        <sz val="11"/>
        <color theme="1"/>
        <rFont val="ＭＳ Ｐゴシック"/>
        <family val="3"/>
        <charset val="128"/>
      </rPr>
      <t>2</t>
    </r>
    <r>
      <rPr>
        <sz val="11"/>
        <color theme="1"/>
        <rFont val="ＭＳ Ｐゴシック"/>
        <family val="2"/>
        <charset val="128"/>
      </rPr>
      <t>排出係数】</t>
    </r>
    <rPh sb="4" eb="6">
      <t>ハイシュツ</t>
    </rPh>
    <rPh sb="6" eb="8">
      <t>ケイスウ</t>
    </rPh>
    <phoneticPr fontId="1"/>
  </si>
  <si>
    <t>【利子率・耐用年数】</t>
    <rPh sb="1" eb="3">
      <t>リシ</t>
    </rPh>
    <rPh sb="3" eb="4">
      <t>リツ</t>
    </rPh>
    <rPh sb="5" eb="7">
      <t>タイヨウ</t>
    </rPh>
    <rPh sb="7" eb="9">
      <t>ネンスウ</t>
    </rPh>
    <phoneticPr fontId="1"/>
  </si>
  <si>
    <t>電力</t>
    <rPh sb="0" eb="2">
      <t>デンリョク</t>
    </rPh>
    <phoneticPr fontId="1"/>
  </si>
  <si>
    <t>高分子凝集剤</t>
    <rPh sb="0" eb="6">
      <t>コウブンシギョウシュウザイ</t>
    </rPh>
    <phoneticPr fontId="1"/>
  </si>
  <si>
    <t>上水</t>
    <rPh sb="0" eb="2">
      <t>ジョウスイ</t>
    </rPh>
    <phoneticPr fontId="1"/>
  </si>
  <si>
    <t>ポリ硫酸第二鉄（11％溶液）</t>
    <rPh sb="2" eb="7">
      <t>リュウサンダイニテツ</t>
    </rPh>
    <rPh sb="11" eb="13">
      <t>ヨウエキ</t>
    </rPh>
    <phoneticPr fontId="1"/>
  </si>
  <si>
    <t>人件費</t>
    <rPh sb="0" eb="3">
      <t>ジンケンヒ</t>
    </rPh>
    <phoneticPr fontId="1"/>
  </si>
  <si>
    <t>円/kWh</t>
    <rPh sb="0" eb="1">
      <t>エン</t>
    </rPh>
    <phoneticPr fontId="1"/>
  </si>
  <si>
    <t>円/kg</t>
    <rPh sb="0" eb="1">
      <t>エン</t>
    </rPh>
    <phoneticPr fontId="1"/>
  </si>
  <si>
    <r>
      <t>円/m</t>
    </r>
    <r>
      <rPr>
        <vertAlign val="superscript"/>
        <sz val="11"/>
        <color theme="1"/>
        <rFont val="ＭＳ Ｐゴシック"/>
        <family val="3"/>
        <charset val="128"/>
      </rPr>
      <t>3</t>
    </r>
    <rPh sb="0" eb="1">
      <t>エン</t>
    </rPh>
    <phoneticPr fontId="1"/>
  </si>
  <si>
    <t>百万円/年/人</t>
    <rPh sb="0" eb="3">
      <t>ヒャクマンエン</t>
    </rPh>
    <rPh sb="4" eb="5">
      <t>ネン</t>
    </rPh>
    <rPh sb="6" eb="7">
      <t>ヒト</t>
    </rPh>
    <phoneticPr fontId="1"/>
  </si>
  <si>
    <t>円/t-wet</t>
    <rPh sb="0" eb="1">
      <t>エン</t>
    </rPh>
    <phoneticPr fontId="1"/>
  </si>
  <si>
    <t>活性炭</t>
    <rPh sb="0" eb="3">
      <t>カッセイタン</t>
    </rPh>
    <phoneticPr fontId="1"/>
  </si>
  <si>
    <t>ガソリン</t>
    <phoneticPr fontId="1"/>
  </si>
  <si>
    <r>
      <t>t-CO</t>
    </r>
    <r>
      <rPr>
        <vertAlign val="subscript"/>
        <sz val="11"/>
        <color theme="1"/>
        <rFont val="ＭＳ Ｐゴシック"/>
        <family val="3"/>
        <charset val="128"/>
      </rPr>
      <t>2</t>
    </r>
    <r>
      <rPr>
        <sz val="11"/>
        <color theme="1"/>
        <rFont val="ＭＳ Ｐゴシック"/>
        <family val="2"/>
        <charset val="128"/>
      </rPr>
      <t>/kWh</t>
    </r>
    <phoneticPr fontId="1"/>
  </si>
  <si>
    <r>
      <t>t-CO</t>
    </r>
    <r>
      <rPr>
        <vertAlign val="subscript"/>
        <sz val="11"/>
        <color theme="1"/>
        <rFont val="ＭＳ Ｐゴシック"/>
        <family val="3"/>
        <charset val="128"/>
      </rPr>
      <t>2</t>
    </r>
    <r>
      <rPr>
        <sz val="11"/>
        <color theme="1"/>
        <rFont val="ＭＳ Ｐゴシック"/>
        <family val="2"/>
        <charset val="128"/>
      </rPr>
      <t>/t</t>
    </r>
    <phoneticPr fontId="1"/>
  </si>
  <si>
    <r>
      <t>t-CO</t>
    </r>
    <r>
      <rPr>
        <vertAlign val="subscript"/>
        <sz val="11"/>
        <color theme="1"/>
        <rFont val="ＭＳ Ｐゴシック"/>
        <family val="3"/>
        <charset val="128"/>
      </rPr>
      <t>2</t>
    </r>
    <r>
      <rPr>
        <sz val="11"/>
        <color theme="1"/>
        <rFont val="ＭＳ Ｐゴシック"/>
        <family val="2"/>
        <charset val="128"/>
      </rPr>
      <t>/kL</t>
    </r>
    <phoneticPr fontId="1"/>
  </si>
  <si>
    <r>
      <t>t-CO</t>
    </r>
    <r>
      <rPr>
        <vertAlign val="subscript"/>
        <sz val="11"/>
        <color theme="1"/>
        <rFont val="ＭＳ Ｐゴシック"/>
        <family val="3"/>
        <charset val="128"/>
      </rPr>
      <t>2</t>
    </r>
    <r>
      <rPr>
        <sz val="11"/>
        <color theme="1"/>
        <rFont val="ＭＳ Ｐゴシック"/>
        <family val="2"/>
        <charset val="128"/>
      </rPr>
      <t>/m</t>
    </r>
    <r>
      <rPr>
        <vertAlign val="superscript"/>
        <sz val="11"/>
        <color theme="1"/>
        <rFont val="ＭＳ Ｐゴシック"/>
        <family val="3"/>
        <charset val="128"/>
      </rPr>
      <t>3</t>
    </r>
    <phoneticPr fontId="1"/>
  </si>
  <si>
    <t>革新的
技術</t>
    <rPh sb="0" eb="3">
      <t>カクシンテキ</t>
    </rPh>
    <rPh sb="4" eb="6">
      <t>ギジュツ</t>
    </rPh>
    <phoneticPr fontId="1"/>
  </si>
  <si>
    <t>a</t>
    <phoneticPr fontId="1"/>
  </si>
  <si>
    <t>b</t>
    <phoneticPr fontId="1"/>
  </si>
  <si>
    <t>c</t>
    <phoneticPr fontId="1"/>
  </si>
  <si>
    <t>d</t>
    <phoneticPr fontId="1"/>
  </si>
  <si>
    <t>e</t>
    <phoneticPr fontId="1"/>
  </si>
  <si>
    <t>f</t>
    <phoneticPr fontId="1"/>
  </si>
  <si>
    <t>Y=エネルギー消費量[GJ/年]
/9.484×1000×a</t>
    <rPh sb="7" eb="10">
      <t>ショウヒリョウ</t>
    </rPh>
    <rPh sb="14" eb="15">
      <t>ネン</t>
    </rPh>
    <phoneticPr fontId="1"/>
  </si>
  <si>
    <t>Y=（Qd0/100×0.8×0.5×0.3/100
＋Qd2/100×0.8×1.2/100）×365×b</t>
    <phoneticPr fontId="1"/>
  </si>
  <si>
    <t>Y=Qd1/100×0.8×0.8×500/600000×355×e</t>
    <phoneticPr fontId="1"/>
  </si>
  <si>
    <t>Y=発電量[GJ/年]/9.484×1000×a</t>
    <rPh sb="2" eb="4">
      <t>ハツデン</t>
    </rPh>
    <rPh sb="4" eb="5">
      <t>リョウ</t>
    </rPh>
    <rPh sb="9" eb="10">
      <t>ネン</t>
    </rPh>
    <phoneticPr fontId="1"/>
  </si>
  <si>
    <r>
      <t>Y=110.3Q1</t>
    </r>
    <r>
      <rPr>
        <vertAlign val="superscript"/>
        <sz val="11"/>
        <color theme="1"/>
        <rFont val="ＭＳ Ｐゴシック"/>
        <family val="3"/>
        <charset val="128"/>
      </rPr>
      <t>0.513</t>
    </r>
    <r>
      <rPr>
        <sz val="11"/>
        <color theme="1"/>
        <rFont val="ＭＳ Ｐゴシック"/>
        <family val="2"/>
        <charset val="128"/>
      </rPr>
      <t>×（a/0.000488）</t>
    </r>
    <phoneticPr fontId="1"/>
  </si>
  <si>
    <t>Y=27.6×（c/0.0020）</t>
    <phoneticPr fontId="1"/>
  </si>
  <si>
    <r>
      <t>Y=133.8Q1</t>
    </r>
    <r>
      <rPr>
        <vertAlign val="superscript"/>
        <sz val="11"/>
        <color theme="1"/>
        <rFont val="ＭＳ Ｐゴシック"/>
        <family val="3"/>
        <charset val="128"/>
      </rPr>
      <t>0.462</t>
    </r>
    <r>
      <rPr>
        <sz val="11"/>
        <color theme="1"/>
        <rFont val="ＭＳ Ｐゴシック"/>
        <family val="2"/>
        <charset val="128"/>
      </rPr>
      <t>×（a/0.000488）</t>
    </r>
    <phoneticPr fontId="1"/>
  </si>
  <si>
    <t>Y=21.8Q1×（b/6.5）</t>
    <phoneticPr fontId="1"/>
  </si>
  <si>
    <t>Y=1.2Q1×（d/0.0308）</t>
    <phoneticPr fontId="1"/>
  </si>
  <si>
    <r>
      <t>Y=0.037Q1</t>
    </r>
    <r>
      <rPr>
        <vertAlign val="superscript"/>
        <sz val="11"/>
        <color theme="1"/>
        <rFont val="ＭＳ Ｐゴシック"/>
        <family val="3"/>
        <charset val="128"/>
      </rPr>
      <t>1.031</t>
    </r>
    <r>
      <rPr>
        <sz val="11"/>
        <color theme="1"/>
        <rFont val="ＭＳ Ｐゴシック"/>
        <family val="2"/>
        <charset val="128"/>
      </rPr>
      <t>×（e/0.26）</t>
    </r>
    <phoneticPr fontId="1"/>
  </si>
  <si>
    <t>Y=103.9Q1×（a/0.000488）</t>
    <phoneticPr fontId="1"/>
  </si>
  <si>
    <r>
      <t>Y=101.9Q1</t>
    </r>
    <r>
      <rPr>
        <vertAlign val="superscript"/>
        <sz val="11"/>
        <color theme="1"/>
        <rFont val="ＭＳ Ｐゴシック"/>
        <family val="3"/>
        <charset val="128"/>
      </rPr>
      <t>1.007</t>
    </r>
    <r>
      <rPr>
        <sz val="11"/>
        <color theme="1"/>
        <rFont val="ＭＳ Ｐゴシック"/>
        <family val="2"/>
        <charset val="128"/>
      </rPr>
      <t>×（a/0.000488）</t>
    </r>
    <phoneticPr fontId="1"/>
  </si>
  <si>
    <t>Y=4.5×（f/2.32）</t>
    <phoneticPr fontId="1"/>
  </si>
  <si>
    <t>出典</t>
    <rPh sb="0" eb="2">
      <t>シュッテン</t>
    </rPh>
    <phoneticPr fontId="1"/>
  </si>
  <si>
    <t>下水汚泥広域利活用検討マニュアル</t>
    <rPh sb="0" eb="2">
      <t>ゲスイ</t>
    </rPh>
    <rPh sb="2" eb="4">
      <t>オデイ</t>
    </rPh>
    <rPh sb="4" eb="6">
      <t>コウイキ</t>
    </rPh>
    <rPh sb="6" eb="9">
      <t>リカツヨウ</t>
    </rPh>
    <rPh sb="9" eb="11">
      <t>ケントウ</t>
    </rPh>
    <phoneticPr fontId="1"/>
  </si>
  <si>
    <t>下水処理場へのバイオマス（生ごみ等）受け入れマニュアル</t>
    <rPh sb="0" eb="2">
      <t>ゲスイ</t>
    </rPh>
    <rPh sb="2" eb="5">
      <t>ショリジョウ</t>
    </rPh>
    <rPh sb="13" eb="14">
      <t>ナマ</t>
    </rPh>
    <rPh sb="16" eb="17">
      <t>トウ</t>
    </rPh>
    <rPh sb="18" eb="19">
      <t>ウ</t>
    </rPh>
    <rPh sb="20" eb="21">
      <t>イ</t>
    </rPh>
    <phoneticPr fontId="1"/>
  </si>
  <si>
    <t>下水汚泥エネルギー化技術ガイドライン</t>
    <rPh sb="0" eb="2">
      <t>ゲスイ</t>
    </rPh>
    <rPh sb="2" eb="4">
      <t>オデイ</t>
    </rPh>
    <rPh sb="9" eb="10">
      <t>カ</t>
    </rPh>
    <rPh sb="10" eb="12">
      <t>ギジュツ</t>
    </rPh>
    <phoneticPr fontId="1"/>
  </si>
  <si>
    <t>工事種別</t>
    <rPh sb="0" eb="2">
      <t>コウジ</t>
    </rPh>
    <rPh sb="2" eb="4">
      <t>シュベツ</t>
    </rPh>
    <phoneticPr fontId="1"/>
  </si>
  <si>
    <t>下水道</t>
    <rPh sb="0" eb="3">
      <t>ゲスイドウ</t>
    </rPh>
    <phoneticPr fontId="1"/>
  </si>
  <si>
    <t>【建設工事費デフレーター】 建設費年価計算時に適用</t>
    <rPh sb="1" eb="3">
      <t>ケンセツ</t>
    </rPh>
    <rPh sb="3" eb="5">
      <t>コウジ</t>
    </rPh>
    <rPh sb="5" eb="6">
      <t>ヒ</t>
    </rPh>
    <rPh sb="14" eb="17">
      <t>ケンセツヒ</t>
    </rPh>
    <rPh sb="17" eb="18">
      <t>ネン</t>
    </rPh>
    <rPh sb="18" eb="19">
      <t>カ</t>
    </rPh>
    <rPh sb="19" eb="21">
      <t>ケイサン</t>
    </rPh>
    <rPh sb="21" eb="22">
      <t>ジ</t>
    </rPh>
    <rPh sb="23" eb="25">
      <t>テキヨウ</t>
    </rPh>
    <phoneticPr fontId="1"/>
  </si>
  <si>
    <t>建設工事費デフレーター（H23基準）</t>
    <rPh sb="0" eb="2">
      <t>ケンセツ</t>
    </rPh>
    <rPh sb="2" eb="4">
      <t>コウジ</t>
    </rPh>
    <rPh sb="4" eb="5">
      <t>ヒ</t>
    </rPh>
    <rPh sb="15" eb="17">
      <t>キジュン</t>
    </rPh>
    <phoneticPr fontId="1"/>
  </si>
  <si>
    <t>92.7（H13）</t>
    <phoneticPr fontId="1"/>
  </si>
  <si>
    <t>→</t>
    <phoneticPr fontId="1"/>
  </si>
  <si>
    <t>98.5（H21）</t>
    <phoneticPr fontId="1"/>
  </si>
  <si>
    <t>下水汚泥広域利活用検討マニュアル</t>
    <rPh sb="0" eb="2">
      <t>ゲスイ</t>
    </rPh>
    <rPh sb="2" eb="4">
      <t>オデイ</t>
    </rPh>
    <rPh sb="4" eb="6">
      <t>コウイキ</t>
    </rPh>
    <rPh sb="6" eb="9">
      <t>リカツヨウ</t>
    </rPh>
    <rPh sb="9" eb="11">
      <t>ケントウ</t>
    </rPh>
    <phoneticPr fontId="1"/>
  </si>
  <si>
    <t>下水処理場へのバイオマス（生ごみ等）受け入れマニュアル</t>
    <rPh sb="0" eb="2">
      <t>ゲスイ</t>
    </rPh>
    <rPh sb="2" eb="5">
      <t>ショリジョウ</t>
    </rPh>
    <rPh sb="13" eb="14">
      <t>ナマ</t>
    </rPh>
    <rPh sb="16" eb="17">
      <t>トウ</t>
    </rPh>
    <rPh sb="18" eb="19">
      <t>ウ</t>
    </rPh>
    <rPh sb="20" eb="21">
      <t>イ</t>
    </rPh>
    <phoneticPr fontId="1"/>
  </si>
  <si>
    <t>下水汚泥エネルギー化技術ガイドライン</t>
    <rPh sb="0" eb="4">
      <t>ゲスイオデイ</t>
    </rPh>
    <rPh sb="9" eb="12">
      <t>カギジュツ</t>
    </rPh>
    <phoneticPr fontId="1"/>
  </si>
  <si>
    <t>下水汚泥広域利活用検討マニュアル</t>
    <rPh sb="0" eb="11">
      <t>ゲスイオデイコウイキリカツヨウケントウ</t>
    </rPh>
    <phoneticPr fontId="1"/>
  </si>
  <si>
    <t>下水汚泥広域利活用検討マニュアル</t>
    <phoneticPr fontId="1"/>
  </si>
  <si>
    <t>消化槽投入汚泥濃度3.3%
下水汚泥エネルギー化技術ガイドライン</t>
    <rPh sb="0" eb="2">
      <t>ショウカ</t>
    </rPh>
    <rPh sb="2" eb="3">
      <t>ソウ</t>
    </rPh>
    <rPh sb="3" eb="5">
      <t>トウニュウ</t>
    </rPh>
    <rPh sb="5" eb="7">
      <t>オデイ</t>
    </rPh>
    <rPh sb="7" eb="9">
      <t>ノウド</t>
    </rPh>
    <rPh sb="14" eb="18">
      <t>ゲスイオデイ</t>
    </rPh>
    <rPh sb="23" eb="26">
      <t>カギジュツ</t>
    </rPh>
    <phoneticPr fontId="1"/>
  </si>
  <si>
    <t>A</t>
    <phoneticPr fontId="1"/>
  </si>
  <si>
    <t>B</t>
    <phoneticPr fontId="1"/>
  </si>
  <si>
    <t>C</t>
    <phoneticPr fontId="1"/>
  </si>
  <si>
    <t>D</t>
    <phoneticPr fontId="1"/>
  </si>
  <si>
    <t>F</t>
    <phoneticPr fontId="1"/>
  </si>
  <si>
    <t>E</t>
    <phoneticPr fontId="1"/>
  </si>
  <si>
    <r>
      <t>Y=0.73Q1</t>
    </r>
    <r>
      <rPr>
        <vertAlign val="superscript"/>
        <sz val="11"/>
        <color theme="1"/>
        <rFont val="ＭＳ Ｐゴシック"/>
        <family val="3"/>
        <charset val="128"/>
      </rPr>
      <t>0.887</t>
    </r>
    <r>
      <rPr>
        <sz val="11"/>
        <color theme="1"/>
        <rFont val="ＭＳ Ｐゴシック"/>
        <family val="2"/>
        <charset val="128"/>
      </rPr>
      <t>×（A/16.5）</t>
    </r>
    <phoneticPr fontId="1"/>
  </si>
  <si>
    <r>
      <t>Y=0.62Q2</t>
    </r>
    <r>
      <rPr>
        <vertAlign val="superscript"/>
        <sz val="11"/>
        <color theme="1"/>
        <rFont val="ＭＳ Ｐゴシック"/>
        <family val="3"/>
        <charset val="128"/>
      </rPr>
      <t>0.285</t>
    </r>
    <r>
      <rPr>
        <sz val="11"/>
        <color theme="1"/>
        <rFont val="ＭＳ Ｐゴシック"/>
        <family val="2"/>
        <charset val="128"/>
      </rPr>
      <t>×（A/16.5）</t>
    </r>
    <phoneticPr fontId="1"/>
  </si>
  <si>
    <t>Y=0.0092Q2×（A/16.5）</t>
    <phoneticPr fontId="1"/>
  </si>
  <si>
    <r>
      <t>Y=0.0087Q2</t>
    </r>
    <r>
      <rPr>
        <vertAlign val="superscript"/>
        <sz val="11"/>
        <color theme="1"/>
        <rFont val="ＭＳ Ｐゴシック"/>
        <family val="3"/>
        <charset val="128"/>
      </rPr>
      <t>1.007</t>
    </r>
    <r>
      <rPr>
        <sz val="11"/>
        <color theme="1"/>
        <rFont val="ＭＳ Ｐゴシック"/>
        <family val="2"/>
        <charset val="128"/>
      </rPr>
      <t>×（A/16.5）</t>
    </r>
    <phoneticPr fontId="1"/>
  </si>
  <si>
    <t>Y=1.0×（A/16.5）</t>
    <phoneticPr fontId="1"/>
  </si>
  <si>
    <t>Y=4.3×（C/309.1）</t>
    <phoneticPr fontId="1"/>
  </si>
  <si>
    <t>Y=0.0055×（C/309.1）</t>
    <phoneticPr fontId="1"/>
  </si>
  <si>
    <t>Y=7.0×（E/7.0）</t>
    <phoneticPr fontId="1"/>
  </si>
  <si>
    <t>Y=0.58Q1×（B/566）＋1.51Q1×（D/38.9）</t>
    <phoneticPr fontId="1"/>
  </si>
  <si>
    <r>
      <t>Y=1/(100－W）×（Qd2×0.9×365
×0.8）×F/10</t>
    </r>
    <r>
      <rPr>
        <vertAlign val="superscript"/>
        <sz val="11"/>
        <color theme="1"/>
        <rFont val="ＭＳ Ｐゴシック"/>
        <family val="3"/>
        <charset val="128"/>
      </rPr>
      <t>6</t>
    </r>
    <phoneticPr fontId="1"/>
  </si>
  <si>
    <t>【単価（革新的技術）】</t>
    <rPh sb="1" eb="3">
      <t>タンカ</t>
    </rPh>
    <rPh sb="4" eb="6">
      <t>カクシン</t>
    </rPh>
    <rPh sb="6" eb="7">
      <t>テキ</t>
    </rPh>
    <rPh sb="7" eb="9">
      <t>ギジュツ</t>
    </rPh>
    <phoneticPr fontId="1"/>
  </si>
  <si>
    <r>
      <t>Y=Qd1/100×0.8×0.8×500
×21.5×0.32×0.9/3.6×355×16.5/10</t>
    </r>
    <r>
      <rPr>
        <vertAlign val="superscript"/>
        <sz val="10"/>
        <color theme="1"/>
        <rFont val="ＭＳ Ｐゴシック"/>
        <family val="3"/>
        <charset val="128"/>
      </rPr>
      <t>6</t>
    </r>
    <phoneticPr fontId="1"/>
  </si>
  <si>
    <t>試算範囲</t>
    <rPh sb="0" eb="4">
      <t>シサンハンイ</t>
    </rPh>
    <phoneticPr fontId="1"/>
  </si>
  <si>
    <t>消化あり・発電あり</t>
    <rPh sb="0" eb="2">
      <t>ショウカ</t>
    </rPh>
    <rPh sb="5" eb="7">
      <t>ハツデン</t>
    </rPh>
    <phoneticPr fontId="1"/>
  </si>
  <si>
    <t>建設費</t>
    <rPh sb="0" eb="3">
      <t>ケンセツヒ</t>
    </rPh>
    <phoneticPr fontId="1"/>
  </si>
  <si>
    <t>維持管理費</t>
    <rPh sb="0" eb="2">
      <t>イジ</t>
    </rPh>
    <rPh sb="2" eb="4">
      <t>カンリ</t>
    </rPh>
    <rPh sb="4" eb="5">
      <t>ヒ</t>
    </rPh>
    <phoneticPr fontId="1"/>
  </si>
  <si>
    <t>汚泥処分費（運搬費込み）</t>
    <rPh sb="0" eb="2">
      <t>オデイ</t>
    </rPh>
    <rPh sb="2" eb="4">
      <t>ショブン</t>
    </rPh>
    <rPh sb="4" eb="5">
      <t>ヒ</t>
    </rPh>
    <rPh sb="6" eb="8">
      <t>ウンパン</t>
    </rPh>
    <rPh sb="8" eb="9">
      <t>ヒ</t>
    </rPh>
    <rPh sb="9" eb="10">
      <t>コ</t>
    </rPh>
    <phoneticPr fontId="1"/>
  </si>
  <si>
    <t>日最大発生汚泥量</t>
    <rPh sb="0" eb="1">
      <t>ニチ</t>
    </rPh>
    <rPh sb="1" eb="3">
      <t>サイダイ</t>
    </rPh>
    <rPh sb="3" eb="5">
      <t>ハッセイ</t>
    </rPh>
    <rPh sb="5" eb="7">
      <t>オデイ</t>
    </rPh>
    <rPh sb="7" eb="8">
      <t>リョウ</t>
    </rPh>
    <phoneticPr fontId="1"/>
  </si>
  <si>
    <t>日最大発生汚泥固形物量</t>
    <rPh sb="0" eb="1">
      <t>ニチ</t>
    </rPh>
    <rPh sb="1" eb="3">
      <t>サイダイ</t>
    </rPh>
    <rPh sb="3" eb="5">
      <t>ハッセイ</t>
    </rPh>
    <rPh sb="5" eb="7">
      <t>オデイ</t>
    </rPh>
    <rPh sb="7" eb="10">
      <t>コケイブツ</t>
    </rPh>
    <rPh sb="10" eb="11">
      <t>リョウ</t>
    </rPh>
    <phoneticPr fontId="1"/>
  </si>
  <si>
    <t>　：手入力により設定</t>
    <rPh sb="2" eb="3">
      <t>テ</t>
    </rPh>
    <rPh sb="3" eb="5">
      <t>ニュウリョク</t>
    </rPh>
    <rPh sb="8" eb="10">
      <t>セッテイ</t>
    </rPh>
    <phoneticPr fontId="1"/>
  </si>
  <si>
    <t>高分子凝集剤（カチオン系）</t>
    <rPh sb="0" eb="6">
      <t>コウブンシギョウシュウザイ</t>
    </rPh>
    <rPh sb="11" eb="12">
      <t>ケイ</t>
    </rPh>
    <phoneticPr fontId="1"/>
  </si>
  <si>
    <t>107.5（H29）</t>
    <phoneticPr fontId="1"/>
  </si>
  <si>
    <t>エネルギー収支</t>
    <rPh sb="5" eb="7">
      <t>シュウシ</t>
    </rPh>
    <phoneticPr fontId="1"/>
  </si>
  <si>
    <t>諸元値</t>
    <rPh sb="0" eb="2">
      <t>ショゲン</t>
    </rPh>
    <rPh sb="2" eb="3">
      <t>アタイ</t>
    </rPh>
    <phoneticPr fontId="1"/>
  </si>
  <si>
    <t>年価
（百万円/年）</t>
    <rPh sb="0" eb="1">
      <t>ネン</t>
    </rPh>
    <rPh sb="1" eb="2">
      <t>カ</t>
    </rPh>
    <rPh sb="4" eb="7">
      <t>ヒャクマンエン</t>
    </rPh>
    <rPh sb="8" eb="9">
      <t>ネン</t>
    </rPh>
    <phoneticPr fontId="1"/>
  </si>
  <si>
    <t>建設費
（百万円）</t>
    <rPh sb="0" eb="3">
      <t>ケンセツヒ</t>
    </rPh>
    <rPh sb="5" eb="8">
      <t>ヒャクマンエン</t>
    </rPh>
    <phoneticPr fontId="1"/>
  </si>
  <si>
    <t>維持管理費</t>
    <rPh sb="0" eb="2">
      <t>イジ</t>
    </rPh>
    <rPh sb="2" eb="5">
      <t>カンリヒ</t>
    </rPh>
    <phoneticPr fontId="1"/>
  </si>
  <si>
    <t>エネルギー収支（創出量－消費量）</t>
    <rPh sb="5" eb="7">
      <t>シュウシ</t>
    </rPh>
    <rPh sb="8" eb="10">
      <t>ソウシュツ</t>
    </rPh>
    <rPh sb="10" eb="11">
      <t>リョウ</t>
    </rPh>
    <rPh sb="12" eb="15">
      <t>ショウヒリョウ</t>
    </rPh>
    <phoneticPr fontId="1"/>
  </si>
  <si>
    <t>温室効果ガス収支（排出量－排出削減量）</t>
    <rPh sb="0" eb="2">
      <t>オンシツ</t>
    </rPh>
    <rPh sb="2" eb="4">
      <t>コウカ</t>
    </rPh>
    <rPh sb="6" eb="8">
      <t>シュウシ</t>
    </rPh>
    <rPh sb="9" eb="11">
      <t>ハイシュツ</t>
    </rPh>
    <rPh sb="11" eb="12">
      <t>リョウ</t>
    </rPh>
    <rPh sb="13" eb="15">
      <t>ハイシュツ</t>
    </rPh>
    <rPh sb="15" eb="17">
      <t>サクゲン</t>
    </rPh>
    <rPh sb="17" eb="18">
      <t>リョウ</t>
    </rPh>
    <phoneticPr fontId="1"/>
  </si>
  <si>
    <r>
      <t>CO</t>
    </r>
    <r>
      <rPr>
        <vertAlign val="subscript"/>
        <sz val="11"/>
        <color theme="1"/>
        <rFont val="ＭＳ Ｐゴシック"/>
        <family val="3"/>
        <charset val="128"/>
      </rPr>
      <t>2</t>
    </r>
    <r>
      <rPr>
        <sz val="11"/>
        <color theme="1"/>
        <rFont val="ＭＳ Ｐゴシック"/>
        <family val="2"/>
        <charset val="128"/>
      </rPr>
      <t>収支</t>
    </r>
    <rPh sb="3" eb="5">
      <t>シュウシ</t>
    </rPh>
    <phoneticPr fontId="1"/>
  </si>
  <si>
    <t>機械・電気（鋼板製消化槽本体以外）</t>
    <rPh sb="0" eb="2">
      <t>キカイ</t>
    </rPh>
    <rPh sb="3" eb="5">
      <t>デンキ</t>
    </rPh>
    <rPh sb="6" eb="8">
      <t>コウハン</t>
    </rPh>
    <rPh sb="8" eb="9">
      <t>セイ</t>
    </rPh>
    <rPh sb="9" eb="11">
      <t>ショウカ</t>
    </rPh>
    <rPh sb="11" eb="12">
      <t>ソウ</t>
    </rPh>
    <rPh sb="12" eb="14">
      <t>ホンタイ</t>
    </rPh>
    <rPh sb="14" eb="16">
      <t>イガイ</t>
    </rPh>
    <phoneticPr fontId="1"/>
  </si>
  <si>
    <t>W：脱水汚泥含水率（％）
　　諸元値【試算条件】欄を参照
革新的技術ではポリ硫酸第二鉄添加による脱水汚泥固形物量増を考慮</t>
    <rPh sb="2" eb="4">
      <t>ダッスイ</t>
    </rPh>
    <rPh sb="4" eb="6">
      <t>オデイ</t>
    </rPh>
    <rPh sb="6" eb="8">
      <t>ガンスイ</t>
    </rPh>
    <rPh sb="8" eb="9">
      <t>リツ</t>
    </rPh>
    <rPh sb="15" eb="17">
      <t>ショゲン</t>
    </rPh>
    <rPh sb="17" eb="18">
      <t>チ</t>
    </rPh>
    <rPh sb="19" eb="21">
      <t>シサン</t>
    </rPh>
    <rPh sb="21" eb="23">
      <t>ジョウケン</t>
    </rPh>
    <rPh sb="24" eb="25">
      <t>ラン</t>
    </rPh>
    <rPh sb="26" eb="28">
      <t>サンショウ</t>
    </rPh>
    <rPh sb="30" eb="35">
      <t>カクシンテキギジュツ</t>
    </rPh>
    <rPh sb="39" eb="44">
      <t>リュウサンダイニテツ</t>
    </rPh>
    <rPh sb="44" eb="46">
      <t>テンカ</t>
    </rPh>
    <rPh sb="49" eb="51">
      <t>ダッスイ</t>
    </rPh>
    <rPh sb="51" eb="53">
      <t>オデイ</t>
    </rPh>
    <rPh sb="53" eb="56">
      <t>コケイブツ</t>
    </rPh>
    <rPh sb="56" eb="57">
      <t>リョウ</t>
    </rPh>
    <rPh sb="57" eb="58">
      <t>ゾウ</t>
    </rPh>
    <rPh sb="59" eb="61">
      <t>コウリョ</t>
    </rPh>
    <phoneticPr fontId="1"/>
  </si>
  <si>
    <r>
      <t>【試算条件】
（原料汚泥）
　・日最大と日平均の発生汚泥量比率　1：0.8
　・重力濃縮と機械濃縮の固形分比率　1：1
　・汚泥VTS：0.8
（回収率）
　・濃縮回収率（従来）：90％
　・高濃度濃縮回収率（革新）：95％
　・脱水回収率（従来、革新共通）：90％
（消化性能）
　・消化槽でのVS分解率：55％
　・バイオガス発生量：500 Nm</t>
    </r>
    <r>
      <rPr>
        <vertAlign val="superscript"/>
        <sz val="8"/>
        <color theme="1"/>
        <rFont val="ＭＳ Ｐゴシック"/>
        <family val="3"/>
        <charset val="128"/>
      </rPr>
      <t>3</t>
    </r>
    <r>
      <rPr>
        <sz val="8"/>
        <color theme="1"/>
        <rFont val="ＭＳ Ｐゴシック"/>
        <family val="3"/>
        <charset val="128"/>
      </rPr>
      <t>/t-VS投入
（脱水汚泥）
　・脱水汚泥含水率：従来直接脱水79％，従来消化脱水82％，
　　　　　　　　　　　　　革新消化脱水（2液調質）80％
　・ポリ硫酸第二鉄添加による脱水汚泥固形物量増（革新）：
　　脱水機供給汚泥固形物量×25％（添加率）
　　×11％（ポリ硫酸第二鉄溶液濃度）
　　×107／56（Fe(OH)</t>
    </r>
    <r>
      <rPr>
        <vertAlign val="subscript"/>
        <sz val="8"/>
        <color theme="1"/>
        <rFont val="ＭＳ Ｐゴシック"/>
        <family val="3"/>
        <charset val="128"/>
      </rPr>
      <t>3</t>
    </r>
    <r>
      <rPr>
        <sz val="8"/>
        <color theme="1"/>
        <rFont val="ＭＳ Ｐゴシック"/>
        <family val="3"/>
        <charset val="128"/>
      </rPr>
      <t>分子量／Fe分子量）
（薬注率）
　・高分子凝集剤（従来・機械濃縮）：0.3％
　・高分子凝集剤（従来・直接脱水）：1.2％
　・高分子凝集剤（従来・消化脱水）：1.6％
　・高分子凝集剤（革新・高濃度濃縮）：0.35％
　・高分子凝集剤（革新・脱水）：1.5％
　・ポリ硫酸第二鉄（革新・脱水）：25％
（バイオガス発電）
　・バイオガス発電（従来）：発電効率 32％，廃熱回収率 52％
　　⇒1台当たりの定格発電出力25 kW，廃熱回収量40.6 kW
　　発電量（システム端）＝発電量（発電端）×90％
　・バイオガス発電（革新）：発電効率33％
（水素製造・供給）
　・水素製造量：70 Nm</t>
    </r>
    <r>
      <rPr>
        <vertAlign val="superscript"/>
        <sz val="8"/>
        <color theme="1"/>
        <rFont val="ＭＳ Ｐゴシック"/>
        <family val="3"/>
        <charset val="128"/>
      </rPr>
      <t>3</t>
    </r>
    <r>
      <rPr>
        <sz val="8"/>
        <color theme="1"/>
        <rFont val="ＭＳ Ｐゴシック"/>
        <family val="3"/>
        <charset val="128"/>
      </rPr>
      <t>/週
　・水素供給量：10 Nm</t>
    </r>
    <r>
      <rPr>
        <vertAlign val="superscript"/>
        <sz val="8"/>
        <color theme="1"/>
        <rFont val="ＭＳ Ｐゴシック"/>
        <family val="3"/>
        <charset val="128"/>
      </rPr>
      <t>3</t>
    </r>
    <r>
      <rPr>
        <sz val="8"/>
        <color theme="1"/>
        <rFont val="ＭＳ Ｐゴシック"/>
        <family val="3"/>
        <charset val="128"/>
      </rPr>
      <t>/日（圧縮機運転時間：8 h/日）
（稼働日数）
　・濃縮・消化・脱水設備：365日/年
　・精製・発電設備：355日/年
　・水素製造・供給設備：345日/年
（電力→熱量換算）
　・受電端投入熱量：9.484 MJ/kWh</t>
    </r>
    <rPh sb="1" eb="3">
      <t>シサン</t>
    </rPh>
    <rPh sb="3" eb="5">
      <t>ジョウケン</t>
    </rPh>
    <rPh sb="9" eb="11">
      <t>ゲンリョウ</t>
    </rPh>
    <rPh sb="11" eb="13">
      <t>オデイ</t>
    </rPh>
    <rPh sb="25" eb="27">
      <t>ハッセイ</t>
    </rPh>
    <rPh sb="27" eb="29">
      <t>オデイ</t>
    </rPh>
    <rPh sb="29" eb="30">
      <t>リョウ</t>
    </rPh>
    <rPh sb="30" eb="32">
      <t>ヒリツ</t>
    </rPh>
    <rPh sb="101" eb="103">
      <t>カイシュウ</t>
    </rPh>
    <rPh sb="103" eb="104">
      <t>リツ</t>
    </rPh>
    <rPh sb="116" eb="118">
      <t>ダッスイ</t>
    </rPh>
    <rPh sb="125" eb="127">
      <t>カクシン</t>
    </rPh>
    <rPh sb="127" eb="129">
      <t>キョウツウ</t>
    </rPh>
    <rPh sb="163" eb="165">
      <t>ショウカ</t>
    </rPh>
    <rPh sb="165" eb="167">
      <t>セイノウ</t>
    </rPh>
    <rPh sb="213" eb="215">
      <t>ダッスイ</t>
    </rPh>
    <rPh sb="215" eb="217">
      <t>オデイ</t>
    </rPh>
    <rPh sb="271" eb="272">
      <t>エキ</t>
    </rPh>
    <rPh sb="272" eb="274">
      <t>チョウシツ</t>
    </rPh>
    <rPh sb="397" eb="399">
      <t>キカイ</t>
    </rPh>
    <rPh sb="527" eb="529">
      <t>ハツデン</t>
    </rPh>
    <rPh sb="647" eb="649">
      <t>スイソ</t>
    </rPh>
    <rPh sb="649" eb="651">
      <t>セイゾウ</t>
    </rPh>
    <rPh sb="652" eb="654">
      <t>キョウキュウ</t>
    </rPh>
    <rPh sb="658" eb="660">
      <t>スイソ</t>
    </rPh>
    <rPh sb="660" eb="662">
      <t>セイゾウ</t>
    </rPh>
    <rPh sb="662" eb="663">
      <t>リョウ</t>
    </rPh>
    <rPh sb="671" eb="672">
      <t>シュウ</t>
    </rPh>
    <rPh sb="675" eb="677">
      <t>スイソ</t>
    </rPh>
    <rPh sb="677" eb="679">
      <t>キョウキュウ</t>
    </rPh>
    <rPh sb="679" eb="680">
      <t>リョウ</t>
    </rPh>
    <rPh sb="688" eb="689">
      <t>ニチ</t>
    </rPh>
    <rPh sb="690" eb="693">
      <t>アッシュクキ</t>
    </rPh>
    <rPh sb="693" eb="695">
      <t>ウンテン</t>
    </rPh>
    <rPh sb="695" eb="697">
      <t>ジカン</t>
    </rPh>
    <rPh sb="702" eb="703">
      <t>ニチ</t>
    </rPh>
    <rPh sb="706" eb="708">
      <t>カドウ</t>
    </rPh>
    <rPh sb="708" eb="710">
      <t>ニッスウ</t>
    </rPh>
    <rPh sb="714" eb="716">
      <t>ノウシュク</t>
    </rPh>
    <rPh sb="717" eb="719">
      <t>ショウカ</t>
    </rPh>
    <rPh sb="720" eb="722">
      <t>ダッスイ</t>
    </rPh>
    <rPh sb="722" eb="724">
      <t>セツビ</t>
    </rPh>
    <rPh sb="728" eb="729">
      <t>ニチ</t>
    </rPh>
    <rPh sb="730" eb="731">
      <t>ネン</t>
    </rPh>
    <rPh sb="734" eb="736">
      <t>セイセイ</t>
    </rPh>
    <rPh sb="737" eb="739">
      <t>ハツデン</t>
    </rPh>
    <rPh sb="751" eb="753">
      <t>スイソ</t>
    </rPh>
    <rPh sb="753" eb="755">
      <t>セイゾウ</t>
    </rPh>
    <rPh sb="756" eb="758">
      <t>キョウキュウ</t>
    </rPh>
    <phoneticPr fontId="1"/>
  </si>
  <si>
    <t>下水道革新的技術実証事業説明書
（平成30年度）</t>
    <rPh sb="0" eb="8">
      <t>ゲスイドウカクシンテキギジュツ</t>
    </rPh>
    <rPh sb="8" eb="10">
      <t>ジッショウ</t>
    </rPh>
    <rPh sb="10" eb="12">
      <t>ジギョウ</t>
    </rPh>
    <rPh sb="12" eb="15">
      <t>セツメイショ</t>
    </rPh>
    <rPh sb="17" eb="19">
      <t>ヘイセイ</t>
    </rPh>
    <rPh sb="21" eb="23">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</si>
</sst>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
    <numFmt numFmtId="178" formatCode="0.0000"/>
  </numFmts>
  <fonts count="13" x14ac:knownFonts="1">
    <font>
      <sz val="11"/>
      <color theme="1"/>
      <name val="ＭＳ Ｐゴシック"/>
      <family val="2"/>
      <charset val="128"/>
    </font>
    <font>
      <sz val="6"/>
      <name val="ＭＳ Ｐゴシック"/>
      <family val="2"/>
      <charset val="128"/>
    </font>
    <font>
      <sz val="14"/>
      <color theme="1"/>
      <name val="ＭＳ Ｐゴシック"/>
      <family val="3"/>
      <charset val="128"/>
    </font>
    <font>
      <vertAlign val="superscript"/>
      <sz val="11"/>
      <color theme="1"/>
      <name val="ＭＳ Ｐゴシック"/>
      <family val="3"/>
      <charset val="128"/>
    </font>
    <font>
      <vertAlign val="subscript"/>
      <sz val="11"/>
      <color theme="1"/>
      <name val="ＭＳ Ｐゴシック"/>
      <family val="3"/>
      <charset val="128"/>
    </font>
    <font>
      <sz val="8"/>
      <color theme="1"/>
      <name val="ＭＳ Ｐゴシック"/>
      <family val="3"/>
      <charset val="128"/>
    </font>
    <font>
      <vertAlign val="superscript"/>
      <sz val="8"/>
      <color theme="1"/>
      <name val="ＭＳ Ｐゴシック"/>
      <family val="3"/>
      <charset val="128"/>
    </font>
    <font>
      <sz val="11"/>
      <color theme="1"/>
      <name val="ＭＳ Ｐゴシック"/>
      <family val="2"/>
      <charset val="128"/>
    </font>
    <font>
      <sz val="10"/>
      <color theme="1"/>
      <name val="ＭＳ Ｐゴシック"/>
      <family val="3"/>
      <charset val="128"/>
    </font>
    <font>
      <sz val="9"/>
      <color theme="1"/>
      <name val="ＭＳ Ｐゴシック"/>
      <family val="3"/>
      <charset val="128"/>
    </font>
    <font>
      <vertAlign val="subscript"/>
      <sz val="8"/>
      <color theme="1"/>
      <name val="ＭＳ Ｐゴシック"/>
      <family val="3"/>
      <charset val="128"/>
    </font>
    <font>
      <vertAlign val="superscript"/>
      <sz val="10"/>
      <color theme="1"/>
      <name val="ＭＳ Ｐゴシック"/>
      <family val="3"/>
      <charset val="128"/>
    </font>
    <font>
      <sz val="10"/>
      <color theme="1"/>
      <name val="ＭＳ Ｐゴシック"/>
      <family val="2"/>
      <charset val="128"/>
    </font>
  </fonts>
  <fills count="3">
    <fill>
      <patternFill patternType="none"/>
    </fill>
    <fill>
      <patternFill patternType="gray125"/>
    </fill>
    <fill>
      <patternFill patternType="solid">
        <fgColor theme="9"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195">
    <xf numFmtId="0" fontId="0" fillId="0" borderId="0" xfId="0">
      <alignment vertical="center"/>
    </xf>
    <xf numFmtId="0" fontId="0" fillId="0" borderId="0" xfId="0" applyFont="1">
      <alignment vertical="center"/>
    </xf>
    <xf numFmtId="0" fontId="2" fillId="0" borderId="0" xfId="0" applyFont="1">
      <alignment vertical="center"/>
    </xf>
    <xf numFmtId="0" fontId="0" fillId="0" borderId="0" xfId="0" applyFont="1" applyAlignment="1">
      <alignment horizontal="center" vertical="center"/>
    </xf>
    <xf numFmtId="3" fontId="0" fillId="0" borderId="1" xfId="0" applyNumberFormat="1" applyFont="1" applyFill="1" applyBorder="1" applyAlignment="1">
      <alignment horizontal="center" vertical="center"/>
    </xf>
    <xf numFmtId="3" fontId="0" fillId="0" borderId="1" xfId="0" applyNumberFormat="1" applyFont="1" applyBorder="1" applyAlignment="1">
      <alignment vertical="center"/>
    </xf>
    <xf numFmtId="0" fontId="0" fillId="0" borderId="1" xfId="0" applyFont="1" applyBorder="1" applyAlignment="1">
      <alignment horizontal="center" vertical="center"/>
    </xf>
    <xf numFmtId="0" fontId="0" fillId="0" borderId="2" xfId="0" applyFont="1" applyBorder="1" applyAlignment="1">
      <alignment horizontal="center" vertical="center"/>
    </xf>
    <xf numFmtId="0" fontId="0" fillId="0" borderId="5" xfId="0" applyFont="1" applyBorder="1" applyAlignment="1">
      <alignment horizontal="center" vertical="center"/>
    </xf>
    <xf numFmtId="0" fontId="0" fillId="0" borderId="1" xfId="0" applyFont="1" applyBorder="1" applyAlignment="1">
      <alignment horizontal="center" vertical="center"/>
    </xf>
    <xf numFmtId="3" fontId="0" fillId="0" borderId="1" xfId="0" applyNumberFormat="1" applyFont="1" applyFill="1" applyBorder="1">
      <alignment vertical="center"/>
    </xf>
    <xf numFmtId="0" fontId="0" fillId="0" borderId="2" xfId="0" applyFont="1" applyBorder="1" applyAlignment="1">
      <alignment vertical="center"/>
    </xf>
    <xf numFmtId="0" fontId="0" fillId="0" borderId="5" xfId="0" applyFont="1" applyBorder="1" applyAlignment="1">
      <alignment vertical="center"/>
    </xf>
    <xf numFmtId="0" fontId="0" fillId="0" borderId="3" xfId="0" applyFont="1" applyBorder="1" applyAlignment="1">
      <alignment vertical="center"/>
    </xf>
    <xf numFmtId="0" fontId="0" fillId="0" borderId="1" xfId="0" applyFont="1" applyBorder="1" applyAlignment="1">
      <alignment horizontal="center" vertical="center" wrapText="1"/>
    </xf>
    <xf numFmtId="0" fontId="0" fillId="0" borderId="0" xfId="0" applyFont="1" applyAlignment="1">
      <alignment vertical="center"/>
    </xf>
    <xf numFmtId="0" fontId="0" fillId="0" borderId="0" xfId="0" applyFont="1" applyBorder="1" applyAlignment="1">
      <alignment horizontal="center" vertical="center"/>
    </xf>
    <xf numFmtId="3" fontId="0" fillId="0" borderId="0" xfId="0" applyNumberFormat="1" applyFont="1" applyFill="1" applyBorder="1">
      <alignment vertical="center"/>
    </xf>
    <xf numFmtId="0" fontId="0" fillId="0" borderId="1" xfId="0" applyFont="1" applyBorder="1" applyAlignment="1">
      <alignment horizontal="center" vertical="center" shrinkToFit="1"/>
    </xf>
    <xf numFmtId="0" fontId="0" fillId="0" borderId="1" xfId="0" applyFont="1" applyBorder="1" applyAlignment="1">
      <alignment vertical="center"/>
    </xf>
    <xf numFmtId="0" fontId="0" fillId="0" borderId="1" xfId="0" applyFont="1" applyBorder="1" applyAlignment="1">
      <alignment horizontal="center" vertical="center"/>
    </xf>
    <xf numFmtId="0" fontId="0" fillId="0" borderId="1" xfId="0" applyFont="1" applyBorder="1" applyAlignment="1">
      <alignment horizontal="center" vertical="center" shrinkToFit="1"/>
    </xf>
    <xf numFmtId="3" fontId="0" fillId="0" borderId="1" xfId="0" applyNumberFormat="1" applyFont="1" applyBorder="1" applyAlignment="1">
      <alignment vertical="center"/>
    </xf>
    <xf numFmtId="0" fontId="0" fillId="0" borderId="0" xfId="0" applyFont="1" applyAlignment="1">
      <alignment horizontal="left" vertical="center" shrinkToFit="1"/>
    </xf>
    <xf numFmtId="0" fontId="0" fillId="0" borderId="0" xfId="0" applyFont="1" applyBorder="1" applyAlignment="1">
      <alignment horizontal="left" vertical="center" shrinkToFit="1"/>
    </xf>
    <xf numFmtId="0" fontId="0" fillId="0" borderId="1" xfId="0" applyFont="1" applyBorder="1" applyAlignment="1">
      <alignment horizontal="center" vertical="center" shrinkToFit="1"/>
    </xf>
    <xf numFmtId="0" fontId="0" fillId="0" borderId="1" xfId="0" applyFont="1" applyBorder="1" applyAlignment="1">
      <alignment horizontal="center" vertical="center"/>
    </xf>
    <xf numFmtId="176" fontId="0" fillId="0" borderId="1" xfId="0" applyNumberFormat="1" applyFont="1" applyBorder="1" applyAlignment="1">
      <alignment vertical="center"/>
    </xf>
    <xf numFmtId="176" fontId="0" fillId="0" borderId="1" xfId="0" applyNumberFormat="1" applyFont="1" applyFill="1" applyBorder="1">
      <alignment vertical="center"/>
    </xf>
    <xf numFmtId="0" fontId="0" fillId="0" borderId="0" xfId="0" applyFont="1" applyFill="1" applyBorder="1">
      <alignment vertical="center"/>
    </xf>
    <xf numFmtId="177" fontId="0" fillId="0" borderId="1" xfId="0" applyNumberFormat="1" applyFont="1" applyBorder="1">
      <alignment vertical="center"/>
    </xf>
    <xf numFmtId="3" fontId="0" fillId="0" borderId="1" xfId="0" applyNumberFormat="1" applyFont="1" applyFill="1" applyBorder="1" applyAlignment="1">
      <alignment vertical="center"/>
    </xf>
    <xf numFmtId="1" fontId="0" fillId="0" borderId="1" xfId="0" applyNumberFormat="1" applyFont="1" applyBorder="1">
      <alignment vertical="center"/>
    </xf>
    <xf numFmtId="0" fontId="0" fillId="0" borderId="0" xfId="0" applyFont="1" applyBorder="1" applyAlignment="1">
      <alignment horizontal="center" vertical="center" textRotation="255"/>
    </xf>
    <xf numFmtId="0" fontId="0" fillId="0" borderId="0" xfId="0" applyFont="1" applyBorder="1" applyAlignment="1">
      <alignment horizontal="center" vertical="center" wrapText="1"/>
    </xf>
    <xf numFmtId="3" fontId="0" fillId="0" borderId="0" xfId="0" applyNumberFormat="1" applyFont="1" applyBorder="1" applyAlignment="1">
      <alignment vertical="center"/>
    </xf>
    <xf numFmtId="0" fontId="0" fillId="0" borderId="0" xfId="0" applyFont="1" applyAlignment="1">
      <alignment horizontal="center" vertical="center" shrinkToFit="1"/>
    </xf>
    <xf numFmtId="0" fontId="5" fillId="0" borderId="0" xfId="0" applyFont="1" applyAlignment="1">
      <alignment vertical="top" wrapText="1"/>
    </xf>
    <xf numFmtId="0" fontId="5" fillId="0" borderId="0" xfId="0" applyFont="1" applyAlignment="1">
      <alignment vertical="top" wrapText="1"/>
    </xf>
    <xf numFmtId="0" fontId="0" fillId="2" borderId="1" xfId="0" applyFont="1" applyFill="1" applyBorder="1" applyAlignment="1">
      <alignment vertical="center"/>
    </xf>
    <xf numFmtId="0" fontId="0" fillId="0" borderId="1" xfId="0" applyFont="1" applyBorder="1" applyAlignment="1">
      <alignment horizontal="center" vertical="center" shrinkToFit="1"/>
    </xf>
    <xf numFmtId="0" fontId="5" fillId="0" borderId="0" xfId="0" applyFont="1" applyAlignment="1">
      <alignment vertical="top" wrapText="1"/>
    </xf>
    <xf numFmtId="0" fontId="5" fillId="0" borderId="0" xfId="0" applyFont="1" applyAlignment="1">
      <alignment vertical="top" wrapText="1"/>
    </xf>
    <xf numFmtId="0" fontId="0" fillId="0" borderId="12" xfId="0" applyFont="1" applyBorder="1" applyAlignment="1">
      <alignment horizontal="center" vertical="center" textRotation="255"/>
    </xf>
    <xf numFmtId="0" fontId="0" fillId="0" borderId="13" xfId="0" applyFont="1" applyBorder="1" applyAlignment="1">
      <alignment horizontal="center" vertical="center" textRotation="255"/>
    </xf>
    <xf numFmtId="0" fontId="0" fillId="0" borderId="4" xfId="0" applyFont="1" applyBorder="1" applyAlignment="1">
      <alignment horizontal="center" vertical="center" textRotation="255"/>
    </xf>
    <xf numFmtId="0" fontId="0" fillId="0" borderId="1" xfId="0" applyFont="1" applyBorder="1" applyAlignment="1">
      <alignment horizontal="center" vertical="center"/>
    </xf>
    <xf numFmtId="0" fontId="0" fillId="0" borderId="5" xfId="0" applyFont="1" applyBorder="1" applyAlignment="1">
      <alignment horizontal="center" vertical="center"/>
    </xf>
    <xf numFmtId="0" fontId="0" fillId="0" borderId="3" xfId="0" applyFont="1" applyBorder="1" applyAlignment="1">
      <alignment horizontal="center" vertical="center"/>
    </xf>
    <xf numFmtId="0" fontId="0" fillId="0" borderId="12" xfId="0" applyFont="1" applyBorder="1" applyAlignment="1">
      <alignment horizontal="center" vertical="center"/>
    </xf>
    <xf numFmtId="0" fontId="0" fillId="0" borderId="13" xfId="0" applyFont="1" applyBorder="1" applyAlignment="1">
      <alignment horizontal="center" vertical="center"/>
    </xf>
    <xf numFmtId="0" fontId="0" fillId="0" borderId="4" xfId="0" applyFont="1" applyBorder="1" applyAlignment="1">
      <alignment horizontal="center" vertical="center"/>
    </xf>
    <xf numFmtId="0" fontId="0" fillId="0" borderId="12" xfId="0" applyFont="1" applyBorder="1" applyAlignment="1">
      <alignment horizontal="center" vertical="center" wrapText="1"/>
    </xf>
    <xf numFmtId="0" fontId="0" fillId="0" borderId="4" xfId="0" applyFont="1" applyBorder="1" applyAlignment="1">
      <alignment horizontal="center" vertical="center" wrapText="1"/>
    </xf>
    <xf numFmtId="0" fontId="0" fillId="0" borderId="6" xfId="0" applyFont="1" applyBorder="1" applyAlignment="1">
      <alignment vertical="center" wrapText="1" shrinkToFit="1"/>
    </xf>
    <xf numFmtId="0" fontId="0" fillId="0" borderId="14" xfId="0" applyFont="1" applyBorder="1" applyAlignment="1">
      <alignment vertical="center" shrinkToFit="1"/>
    </xf>
    <xf numFmtId="0" fontId="0" fillId="0" borderId="7" xfId="0" applyFont="1" applyBorder="1" applyAlignment="1">
      <alignment vertical="center" shrinkToFit="1"/>
    </xf>
    <xf numFmtId="0" fontId="0" fillId="0" borderId="8" xfId="0" applyFont="1" applyBorder="1" applyAlignment="1">
      <alignment vertical="center" shrinkToFit="1"/>
    </xf>
    <xf numFmtId="0" fontId="0" fillId="0" borderId="0" xfId="0" applyFont="1" applyBorder="1" applyAlignment="1">
      <alignment vertical="center" shrinkToFit="1"/>
    </xf>
    <xf numFmtId="0" fontId="0" fillId="0" borderId="9" xfId="0" applyFont="1" applyBorder="1" applyAlignment="1">
      <alignment vertical="center" shrinkToFit="1"/>
    </xf>
    <xf numFmtId="0" fontId="0" fillId="0" borderId="10" xfId="0" applyFont="1" applyBorder="1" applyAlignment="1">
      <alignment vertical="center" shrinkToFit="1"/>
    </xf>
    <xf numFmtId="0" fontId="0" fillId="0" borderId="15" xfId="0" applyFont="1" applyBorder="1" applyAlignment="1">
      <alignment vertical="center" shrinkToFit="1"/>
    </xf>
    <xf numFmtId="0" fontId="0" fillId="0" borderId="11" xfId="0" applyFont="1" applyBorder="1" applyAlignment="1">
      <alignment vertical="center" shrinkToFit="1"/>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0" fillId="0" borderId="10" xfId="0" applyFont="1" applyBorder="1" applyAlignment="1">
      <alignment horizontal="center" vertical="center"/>
    </xf>
    <xf numFmtId="0" fontId="0" fillId="0" borderId="11" xfId="0" applyFont="1" applyBorder="1" applyAlignment="1">
      <alignment horizontal="center" vertical="center"/>
    </xf>
    <xf numFmtId="0" fontId="0" fillId="0" borderId="6" xfId="0" applyFont="1" applyBorder="1" applyAlignment="1">
      <alignment vertical="center" wrapText="1"/>
    </xf>
    <xf numFmtId="0" fontId="0" fillId="0" borderId="14" xfId="0" applyFont="1" applyBorder="1" applyAlignment="1">
      <alignment vertical="center"/>
    </xf>
    <xf numFmtId="0" fontId="0" fillId="0" borderId="7" xfId="0" applyFont="1" applyBorder="1" applyAlignment="1">
      <alignment vertical="center"/>
    </xf>
    <xf numFmtId="0" fontId="0" fillId="0" borderId="10" xfId="0" applyFont="1" applyBorder="1" applyAlignment="1">
      <alignment vertical="center"/>
    </xf>
    <xf numFmtId="0" fontId="0" fillId="0" borderId="15" xfId="0" applyFont="1" applyBorder="1" applyAlignment="1">
      <alignment vertical="center"/>
    </xf>
    <xf numFmtId="0" fontId="0" fillId="0" borderId="11" xfId="0" applyFont="1" applyBorder="1" applyAlignment="1">
      <alignment vertical="center"/>
    </xf>
    <xf numFmtId="0" fontId="0" fillId="0" borderId="1" xfId="0" applyFont="1" applyBorder="1" applyAlignment="1">
      <alignment horizontal="center" vertical="center" shrinkToFit="1"/>
    </xf>
    <xf numFmtId="0" fontId="0" fillId="0" borderId="1" xfId="0" applyFont="1" applyBorder="1" applyAlignment="1">
      <alignment horizontal="center" vertical="center" wrapText="1"/>
    </xf>
    <xf numFmtId="0" fontId="0" fillId="0" borderId="1" xfId="0" applyFont="1" applyBorder="1" applyAlignment="1">
      <alignment horizontal="left" vertical="center" shrinkToFit="1"/>
    </xf>
    <xf numFmtId="0" fontId="0" fillId="0" borderId="6" xfId="0" applyFont="1" applyBorder="1" applyAlignment="1">
      <alignment horizontal="center" vertical="center" wrapText="1"/>
    </xf>
    <xf numFmtId="0" fontId="0" fillId="0" borderId="7" xfId="0" applyFont="1" applyBorder="1" applyAlignment="1">
      <alignment horizontal="center" vertical="center" wrapText="1"/>
    </xf>
    <xf numFmtId="0" fontId="0" fillId="0" borderId="8" xfId="0" applyFont="1" applyBorder="1" applyAlignment="1">
      <alignment horizontal="center" vertical="center" wrapText="1"/>
    </xf>
    <xf numFmtId="0" fontId="0" fillId="0" borderId="9"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11" xfId="0" applyFont="1" applyBorder="1" applyAlignment="1">
      <alignment horizontal="center" vertical="center" wrapText="1"/>
    </xf>
    <xf numFmtId="176" fontId="0" fillId="0" borderId="12" xfId="0" applyNumberFormat="1" applyFont="1" applyBorder="1" applyAlignment="1">
      <alignment vertical="center"/>
    </xf>
    <xf numFmtId="176" fontId="0" fillId="0" borderId="4" xfId="0" applyNumberFormat="1" applyFont="1" applyBorder="1" applyAlignment="1">
      <alignment vertical="center"/>
    </xf>
    <xf numFmtId="0" fontId="9" fillId="0" borderId="6" xfId="0" applyFont="1" applyBorder="1" applyAlignment="1">
      <alignment vertical="center" wrapText="1" shrinkToFit="1"/>
    </xf>
    <xf numFmtId="0" fontId="9" fillId="0" borderId="7" xfId="0" applyFont="1" applyBorder="1" applyAlignment="1">
      <alignment vertical="center" wrapText="1" shrinkToFit="1"/>
    </xf>
    <xf numFmtId="0" fontId="9" fillId="0" borderId="8" xfId="0" applyFont="1" applyBorder="1" applyAlignment="1">
      <alignment vertical="center" wrapText="1" shrinkToFit="1"/>
    </xf>
    <xf numFmtId="0" fontId="9" fillId="0" borderId="9" xfId="0" applyFont="1" applyBorder="1" applyAlignment="1">
      <alignment vertical="center" wrapText="1" shrinkToFit="1"/>
    </xf>
    <xf numFmtId="0" fontId="9" fillId="0" borderId="10" xfId="0" applyFont="1" applyBorder="1" applyAlignment="1">
      <alignment vertical="center" wrapText="1" shrinkToFit="1"/>
    </xf>
    <xf numFmtId="0" fontId="9" fillId="0" borderId="11" xfId="0" applyFont="1" applyBorder="1" applyAlignment="1">
      <alignment vertical="center" wrapText="1" shrinkToFit="1"/>
    </xf>
    <xf numFmtId="0" fontId="0" fillId="0" borderId="2" xfId="0" applyFont="1" applyBorder="1" applyAlignment="1">
      <alignment horizontal="center" vertical="center"/>
    </xf>
    <xf numFmtId="0" fontId="0" fillId="0" borderId="6" xfId="0" applyFont="1" applyFill="1" applyBorder="1" applyAlignment="1">
      <alignment horizontal="left" vertical="center" wrapText="1"/>
    </xf>
    <xf numFmtId="0" fontId="0" fillId="0" borderId="14" xfId="0" applyFont="1" applyFill="1" applyBorder="1" applyAlignment="1">
      <alignment horizontal="left" vertical="center"/>
    </xf>
    <xf numFmtId="0" fontId="0" fillId="0" borderId="7" xfId="0" applyFont="1" applyFill="1" applyBorder="1" applyAlignment="1">
      <alignment horizontal="left" vertical="center"/>
    </xf>
    <xf numFmtId="0" fontId="0" fillId="0" borderId="10" xfId="0" applyFont="1" applyFill="1" applyBorder="1" applyAlignment="1">
      <alignment horizontal="left" vertical="center"/>
    </xf>
    <xf numFmtId="0" fontId="0" fillId="0" borderId="15" xfId="0" applyFont="1" applyFill="1" applyBorder="1" applyAlignment="1">
      <alignment horizontal="left" vertical="center"/>
    </xf>
    <xf numFmtId="0" fontId="0" fillId="0" borderId="11" xfId="0" applyFont="1" applyFill="1" applyBorder="1" applyAlignment="1">
      <alignment horizontal="left" vertical="center"/>
    </xf>
    <xf numFmtId="3" fontId="0" fillId="0" borderId="12" xfId="0" applyNumberFormat="1" applyFont="1" applyBorder="1" applyAlignment="1">
      <alignment vertical="center"/>
    </xf>
    <xf numFmtId="3" fontId="0" fillId="0" borderId="4" xfId="0" applyNumberFormat="1" applyFont="1" applyBorder="1" applyAlignment="1">
      <alignment vertical="center"/>
    </xf>
    <xf numFmtId="0" fontId="5" fillId="0" borderId="6"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0" fillId="0" borderId="14" xfId="0" applyFont="1" applyBorder="1" applyAlignment="1">
      <alignment horizontal="center" vertical="center"/>
    </xf>
    <xf numFmtId="0" fontId="0" fillId="0" borderId="15" xfId="0" applyFont="1" applyBorder="1" applyAlignment="1">
      <alignment horizontal="center" vertical="center"/>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10" xfId="0" applyFont="1" applyBorder="1" applyAlignment="1">
      <alignment horizontal="center" vertical="center" shrinkToFit="1"/>
    </xf>
    <xf numFmtId="0" fontId="9" fillId="0" borderId="11" xfId="0" applyFont="1" applyBorder="1" applyAlignment="1">
      <alignment horizontal="center" vertical="center" shrinkToFit="1"/>
    </xf>
    <xf numFmtId="0" fontId="0" fillId="0" borderId="6" xfId="0" applyFont="1" applyBorder="1" applyAlignment="1">
      <alignment horizontal="left" vertical="center" wrapText="1"/>
    </xf>
    <xf numFmtId="0" fontId="0" fillId="0" borderId="14" xfId="0" applyFont="1" applyBorder="1" applyAlignment="1">
      <alignment horizontal="left" vertical="center" wrapText="1"/>
    </xf>
    <xf numFmtId="0" fontId="0" fillId="0" borderId="7" xfId="0" applyFont="1" applyBorder="1" applyAlignment="1">
      <alignment horizontal="left" vertical="center" wrapText="1"/>
    </xf>
    <xf numFmtId="0" fontId="0" fillId="0" borderId="8" xfId="0" applyFont="1" applyBorder="1" applyAlignment="1">
      <alignment horizontal="left" vertical="center" wrapText="1"/>
    </xf>
    <xf numFmtId="0" fontId="0" fillId="0" borderId="0" xfId="0" applyFont="1" applyBorder="1" applyAlignment="1">
      <alignment horizontal="left" vertical="center" wrapText="1"/>
    </xf>
    <xf numFmtId="0" fontId="0" fillId="0" borderId="9" xfId="0" applyFont="1" applyBorder="1" applyAlignment="1">
      <alignment horizontal="left" vertical="center" wrapText="1"/>
    </xf>
    <xf numFmtId="0" fontId="0" fillId="0" borderId="10" xfId="0" applyFont="1" applyBorder="1" applyAlignment="1">
      <alignment horizontal="left" vertical="center" wrapText="1"/>
    </xf>
    <xf numFmtId="0" fontId="0" fillId="0" borderId="15" xfId="0" applyFont="1" applyBorder="1" applyAlignment="1">
      <alignment horizontal="left" vertical="center" wrapText="1"/>
    </xf>
    <xf numFmtId="0" fontId="0" fillId="0" borderId="11" xfId="0" applyFont="1" applyBorder="1" applyAlignment="1">
      <alignment horizontal="left" vertical="center" wrapText="1"/>
    </xf>
    <xf numFmtId="0" fontId="9" fillId="0" borderId="1" xfId="0" applyFont="1" applyBorder="1" applyAlignment="1">
      <alignment horizontal="left" vertical="center" shrinkToFit="1"/>
    </xf>
    <xf numFmtId="176" fontId="0" fillId="0" borderId="1" xfId="0" applyNumberFormat="1" applyFont="1" applyBorder="1" applyAlignment="1">
      <alignment vertical="center"/>
    </xf>
    <xf numFmtId="0" fontId="9" fillId="0" borderId="6" xfId="0" applyFont="1" applyBorder="1" applyAlignment="1">
      <alignment horizontal="left" vertical="center" wrapText="1" shrinkToFit="1"/>
    </xf>
    <xf numFmtId="0" fontId="9" fillId="0" borderId="7" xfId="0" applyFont="1" applyBorder="1" applyAlignment="1">
      <alignment horizontal="left" vertical="center" wrapText="1" shrinkToFit="1"/>
    </xf>
    <xf numFmtId="0" fontId="9" fillId="0" borderId="8" xfId="0" applyFont="1" applyBorder="1" applyAlignment="1">
      <alignment horizontal="left" vertical="center" wrapText="1" shrinkToFit="1"/>
    </xf>
    <xf numFmtId="0" fontId="9" fillId="0" borderId="9" xfId="0" applyFont="1" applyBorder="1" applyAlignment="1">
      <alignment horizontal="left" vertical="center" wrapText="1" shrinkToFit="1"/>
    </xf>
    <xf numFmtId="0" fontId="9" fillId="0" borderId="10" xfId="0" applyFont="1" applyBorder="1" applyAlignment="1">
      <alignment horizontal="left" vertical="center" wrapText="1" shrinkToFit="1"/>
    </xf>
    <xf numFmtId="0" fontId="9" fillId="0" borderId="11" xfId="0" applyFont="1" applyBorder="1" applyAlignment="1">
      <alignment horizontal="left" vertical="center" wrapText="1" shrinkToFit="1"/>
    </xf>
    <xf numFmtId="0" fontId="0" fillId="0" borderId="1" xfId="0" applyFont="1" applyBorder="1" applyAlignment="1">
      <alignment horizontal="left" vertical="center"/>
    </xf>
    <xf numFmtId="0" fontId="0" fillId="0" borderId="2" xfId="0" applyFont="1" applyBorder="1" applyAlignment="1">
      <alignment horizontal="left" vertical="center"/>
    </xf>
    <xf numFmtId="0" fontId="0" fillId="0" borderId="5" xfId="0" applyFont="1" applyBorder="1" applyAlignment="1">
      <alignment horizontal="left" vertical="center"/>
    </xf>
    <xf numFmtId="0" fontId="0" fillId="0" borderId="3" xfId="0" applyFont="1" applyBorder="1" applyAlignment="1">
      <alignment horizontal="left" vertical="center"/>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0" fillId="0" borderId="2" xfId="0" applyFont="1" applyBorder="1" applyAlignment="1">
      <alignment horizontal="center" vertical="center" shrinkToFit="1"/>
    </xf>
    <xf numFmtId="0" fontId="0" fillId="0" borderId="3" xfId="0" applyFont="1" applyBorder="1" applyAlignment="1">
      <alignment horizontal="center" vertical="center" shrinkToFit="1"/>
    </xf>
    <xf numFmtId="0" fontId="0" fillId="0" borderId="2" xfId="0" applyFont="1" applyBorder="1" applyAlignment="1">
      <alignment horizontal="left" vertical="center" shrinkToFit="1"/>
    </xf>
    <xf numFmtId="0" fontId="0" fillId="0" borderId="3" xfId="0" applyFont="1" applyBorder="1" applyAlignment="1">
      <alignment horizontal="left" vertical="center" shrinkToFit="1"/>
    </xf>
    <xf numFmtId="0" fontId="0" fillId="2" borderId="2" xfId="0" applyFont="1" applyFill="1" applyBorder="1" applyAlignment="1">
      <alignment vertical="center"/>
    </xf>
    <xf numFmtId="0" fontId="0" fillId="2" borderId="3" xfId="0" applyFont="1" applyFill="1" applyBorder="1" applyAlignment="1">
      <alignment vertical="center"/>
    </xf>
    <xf numFmtId="3" fontId="0" fillId="0" borderId="2" xfId="0" applyNumberFormat="1" applyFont="1" applyFill="1" applyBorder="1" applyAlignment="1">
      <alignment vertical="center"/>
    </xf>
    <xf numFmtId="3" fontId="0" fillId="0" borderId="3" xfId="0" applyNumberFormat="1" applyFont="1" applyFill="1" applyBorder="1" applyAlignment="1">
      <alignment vertical="center"/>
    </xf>
    <xf numFmtId="176" fontId="0" fillId="0" borderId="2" xfId="0" applyNumberFormat="1" applyFont="1" applyFill="1" applyBorder="1" applyAlignment="1">
      <alignment vertical="center"/>
    </xf>
    <xf numFmtId="176" fontId="0" fillId="0" borderId="3" xfId="0" applyNumberFormat="1" applyFont="1" applyFill="1" applyBorder="1" applyAlignment="1">
      <alignment vertical="center"/>
    </xf>
    <xf numFmtId="3" fontId="0" fillId="0" borderId="2" xfId="0" applyNumberFormat="1" applyFont="1" applyBorder="1" applyAlignment="1">
      <alignment vertical="center"/>
    </xf>
    <xf numFmtId="3" fontId="0" fillId="0" borderId="3" xfId="0" applyNumberFormat="1" applyFont="1" applyBorder="1" applyAlignment="1">
      <alignment vertical="center"/>
    </xf>
    <xf numFmtId="3" fontId="0" fillId="2" borderId="2" xfId="0" applyNumberFormat="1" applyFont="1" applyFill="1" applyBorder="1" applyAlignment="1">
      <alignment vertical="center"/>
    </xf>
    <xf numFmtId="3" fontId="0" fillId="2" borderId="3" xfId="0" applyNumberFormat="1" applyFont="1" applyFill="1" applyBorder="1" applyAlignment="1">
      <alignment vertical="center"/>
    </xf>
    <xf numFmtId="0" fontId="0" fillId="0" borderId="6" xfId="0" applyFont="1" applyBorder="1" applyAlignment="1">
      <alignment vertical="center"/>
    </xf>
    <xf numFmtId="0" fontId="0" fillId="0" borderId="2" xfId="0" applyFont="1" applyBorder="1" applyAlignment="1">
      <alignment vertical="center"/>
    </xf>
    <xf numFmtId="0" fontId="0" fillId="0" borderId="5" xfId="0" applyFont="1" applyBorder="1" applyAlignment="1">
      <alignment vertical="center"/>
    </xf>
    <xf numFmtId="0" fontId="0" fillId="0" borderId="3" xfId="0" applyFont="1" applyBorder="1" applyAlignment="1">
      <alignment vertical="center"/>
    </xf>
    <xf numFmtId="0" fontId="0" fillId="2" borderId="2" xfId="0" applyNumberFormat="1" applyFont="1" applyFill="1" applyBorder="1" applyAlignment="1">
      <alignment vertical="center"/>
    </xf>
    <xf numFmtId="0" fontId="0" fillId="2" borderId="3" xfId="0" applyNumberFormat="1" applyFont="1" applyFill="1" applyBorder="1" applyAlignment="1">
      <alignment vertical="center"/>
    </xf>
    <xf numFmtId="0" fontId="0" fillId="0" borderId="1" xfId="0" applyFont="1" applyBorder="1" applyAlignment="1">
      <alignment vertical="center"/>
    </xf>
    <xf numFmtId="0" fontId="0" fillId="2" borderId="1" xfId="0" applyFont="1" applyFill="1" applyBorder="1" applyAlignment="1">
      <alignment vertical="center"/>
    </xf>
    <xf numFmtId="0" fontId="0" fillId="0" borderId="1" xfId="0" applyFont="1" applyBorder="1" applyAlignment="1">
      <alignment horizontal="center" vertical="center" textRotation="255" wrapText="1" shrinkToFit="1"/>
    </xf>
    <xf numFmtId="0" fontId="0" fillId="0" borderId="1" xfId="0" applyFont="1" applyBorder="1" applyAlignment="1">
      <alignment horizontal="center" vertical="center" textRotation="255" shrinkToFit="1"/>
    </xf>
    <xf numFmtId="0" fontId="0" fillId="0" borderId="6" xfId="0" applyFont="1" applyBorder="1" applyAlignment="1">
      <alignment horizontal="center" vertical="center" textRotation="255"/>
    </xf>
    <xf numFmtId="0" fontId="0" fillId="0" borderId="8" xfId="0" applyFont="1" applyBorder="1" applyAlignment="1">
      <alignment horizontal="center" vertical="center" textRotation="255"/>
    </xf>
    <xf numFmtId="0" fontId="0" fillId="0" borderId="10" xfId="0" applyFont="1" applyBorder="1" applyAlignment="1">
      <alignment horizontal="center" vertical="center" textRotation="255"/>
    </xf>
    <xf numFmtId="0" fontId="0" fillId="0" borderId="12" xfId="0" applyFont="1" applyBorder="1" applyAlignment="1">
      <alignment vertical="center"/>
    </xf>
    <xf numFmtId="0" fontId="0" fillId="0" borderId="4" xfId="0" applyFont="1" applyBorder="1" applyAlignment="1">
      <alignment vertical="center"/>
    </xf>
    <xf numFmtId="0" fontId="0" fillId="0" borderId="0" xfId="0" applyFont="1" applyAlignment="1">
      <alignment vertical="center"/>
    </xf>
    <xf numFmtId="38" fontId="0" fillId="2" borderId="1" xfId="1" applyFont="1" applyFill="1" applyBorder="1" applyAlignment="1">
      <alignment vertical="center"/>
    </xf>
    <xf numFmtId="177" fontId="0" fillId="2" borderId="1" xfId="0" applyNumberFormat="1" applyFont="1" applyFill="1" applyBorder="1" applyAlignment="1">
      <alignment vertical="center"/>
    </xf>
    <xf numFmtId="0" fontId="0" fillId="0" borderId="1" xfId="0" applyFont="1" applyBorder="1" applyAlignment="1">
      <alignment horizontal="center" vertical="center" textRotation="255"/>
    </xf>
    <xf numFmtId="0" fontId="8" fillId="0" borderId="6" xfId="0" applyFont="1" applyBorder="1" applyAlignment="1">
      <alignment horizontal="left" vertical="center" wrapText="1"/>
    </xf>
    <xf numFmtId="0" fontId="8" fillId="0" borderId="14" xfId="0" applyFont="1" applyBorder="1" applyAlignment="1">
      <alignment horizontal="left" vertical="center"/>
    </xf>
    <xf numFmtId="0" fontId="8" fillId="0" borderId="7" xfId="0" applyFont="1" applyBorder="1" applyAlignment="1">
      <alignment horizontal="left" vertical="center"/>
    </xf>
    <xf numFmtId="0" fontId="8" fillId="0" borderId="10" xfId="0" applyFont="1" applyBorder="1" applyAlignment="1">
      <alignment horizontal="left" vertical="center"/>
    </xf>
    <xf numFmtId="0" fontId="8" fillId="0" borderId="15" xfId="0" applyFont="1" applyBorder="1" applyAlignment="1">
      <alignment horizontal="left" vertical="center"/>
    </xf>
    <xf numFmtId="0" fontId="8" fillId="0" borderId="11" xfId="0" applyFont="1" applyBorder="1" applyAlignment="1">
      <alignment horizontal="left" vertical="center"/>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0" fillId="0" borderId="1" xfId="0" applyFont="1" applyBorder="1" applyAlignment="1">
      <alignment vertical="center" shrinkToFit="1"/>
    </xf>
    <xf numFmtId="0" fontId="0" fillId="0" borderId="0" xfId="0" applyFont="1" applyBorder="1" applyAlignment="1">
      <alignment horizontal="center" vertical="center" shrinkToFit="1"/>
    </xf>
    <xf numFmtId="0" fontId="9" fillId="0" borderId="1" xfId="0" applyFont="1" applyBorder="1" applyAlignment="1">
      <alignment vertical="center" wrapText="1" shrinkToFit="1"/>
    </xf>
    <xf numFmtId="0" fontId="9" fillId="0" borderId="1" xfId="0" applyFont="1" applyBorder="1" applyAlignment="1">
      <alignment vertical="center" shrinkToFit="1"/>
    </xf>
    <xf numFmtId="0" fontId="0" fillId="2" borderId="12" xfId="0" applyFont="1" applyFill="1" applyBorder="1" applyAlignment="1">
      <alignment horizontal="center" vertical="center"/>
    </xf>
    <xf numFmtId="0" fontId="0" fillId="2" borderId="13" xfId="0" applyFont="1" applyFill="1" applyBorder="1" applyAlignment="1">
      <alignment horizontal="center" vertical="center"/>
    </xf>
    <xf numFmtId="0" fontId="0" fillId="2" borderId="4" xfId="0" applyFont="1" applyFill="1" applyBorder="1" applyAlignment="1">
      <alignment horizontal="center" vertical="center"/>
    </xf>
    <xf numFmtId="178" fontId="0" fillId="2" borderId="1" xfId="0" applyNumberFormat="1" applyFont="1" applyFill="1" applyBorder="1" applyAlignment="1">
      <alignment vertical="center"/>
    </xf>
    <xf numFmtId="0" fontId="9" fillId="0" borderId="6" xfId="0" applyFont="1" applyBorder="1" applyAlignment="1">
      <alignment vertical="center" shrinkToFit="1"/>
    </xf>
    <xf numFmtId="0" fontId="9" fillId="0" borderId="7" xfId="0" applyFont="1" applyBorder="1" applyAlignment="1">
      <alignment vertical="center" shrinkToFit="1"/>
    </xf>
    <xf numFmtId="0" fontId="9" fillId="0" borderId="10" xfId="0" applyFont="1" applyBorder="1" applyAlignment="1">
      <alignment vertical="center" shrinkToFit="1"/>
    </xf>
    <xf numFmtId="0" fontId="9" fillId="0" borderId="11" xfId="0" applyFont="1" applyBorder="1" applyAlignment="1">
      <alignment vertical="center" shrinkToFit="1"/>
    </xf>
    <xf numFmtId="0" fontId="0" fillId="0" borderId="0" xfId="0" applyFont="1" applyFill="1" applyBorder="1" applyAlignment="1">
      <alignment vertical="center"/>
    </xf>
    <xf numFmtId="0" fontId="12" fillId="0" borderId="1" xfId="0" applyFont="1" applyBorder="1" applyAlignment="1">
      <alignment horizontal="center" vertical="center" wrapText="1"/>
    </xf>
    <xf numFmtId="0" fontId="0" fillId="0" borderId="12" xfId="0" applyFont="1" applyBorder="1" applyAlignment="1">
      <alignment horizontal="left" vertical="center"/>
    </xf>
    <xf numFmtId="0" fontId="0" fillId="0" borderId="13" xfId="0" applyFont="1" applyBorder="1" applyAlignment="1">
      <alignment horizontal="left" vertical="center"/>
    </xf>
    <xf numFmtId="0" fontId="0" fillId="0" borderId="4" xfId="0" applyFont="1" applyBorder="1" applyAlignment="1">
      <alignment horizontal="left" vertical="center"/>
    </xf>
    <xf numFmtId="0" fontId="0" fillId="0" borderId="12" xfId="0" applyFont="1" applyBorder="1" applyAlignment="1">
      <alignment horizontal="left" vertical="center" wrapText="1"/>
    </xf>
    <xf numFmtId="0" fontId="0" fillId="0" borderId="13" xfId="0" applyFont="1" applyBorder="1" applyAlignment="1">
      <alignment horizontal="left" vertical="center" wrapText="1"/>
    </xf>
    <xf numFmtId="0" fontId="0" fillId="0" borderId="4"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colors>
    <mruColors>
      <color rgb="FFE7FFE7"/>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0</xdr:col>
      <xdr:colOff>155864</xdr:colOff>
      <xdr:row>47</xdr:row>
      <xdr:rowOff>8167</xdr:rowOff>
    </xdr:from>
    <xdr:to>
      <xdr:col>7</xdr:col>
      <xdr:colOff>604674</xdr:colOff>
      <xdr:row>70</xdr:row>
      <xdr:rowOff>102160</xdr:rowOff>
    </xdr:to>
    <xdr:pic>
      <xdr:nvPicPr>
        <xdr:cNvPr id="3" name="図 2">
          <a:extLst>
            <a:ext uri="{FF2B5EF4-FFF2-40B4-BE49-F238E27FC236}">
              <a16:creationId xmlns:a16="http://schemas.microsoft.com/office/drawing/2014/main" id="{3938BFAC-6DAE-4B6B-8B9F-1317EECE2E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864" y="10541696"/>
          <a:ext cx="6231045" cy="5248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36547</xdr:colOff>
      <xdr:row>46</xdr:row>
      <xdr:rowOff>34045</xdr:rowOff>
    </xdr:from>
    <xdr:to>
      <xdr:col>13</xdr:col>
      <xdr:colOff>2613533</xdr:colOff>
      <xdr:row>68</xdr:row>
      <xdr:rowOff>199214</xdr:rowOff>
    </xdr:to>
    <xdr:pic>
      <xdr:nvPicPr>
        <xdr:cNvPr id="5" name="図 4">
          <a:extLst>
            <a:ext uri="{FF2B5EF4-FFF2-40B4-BE49-F238E27FC236}">
              <a16:creationId xmlns:a16="http://schemas.microsoft.com/office/drawing/2014/main" id="{84D22963-C22B-442E-8926-61336AC8CD7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15253" y="10343457"/>
          <a:ext cx="7563604" cy="50957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44"/>
  <sheetViews>
    <sheetView showGridLines="0" tabSelected="1" zoomScale="120" zoomScaleNormal="120" workbookViewId="0">
      <selection activeCell="C1" sqref="C1"/>
    </sheetView>
  </sheetViews>
  <sheetFormatPr defaultColWidth="10.44140625" defaultRowHeight="18" customHeight="1" x14ac:dyDescent="0.2"/>
  <cols>
    <col min="1" max="1" width="5.21875" style="1" customWidth="1"/>
    <col min="2" max="6" width="11.77734375" style="3" customWidth="1"/>
    <col min="7" max="11" width="11.77734375" style="1" customWidth="1"/>
    <col min="12" max="12" width="18.33203125" style="1" customWidth="1"/>
    <col min="13" max="13" width="11.77734375" style="1" customWidth="1"/>
    <col min="14" max="14" width="39.21875" style="1" customWidth="1"/>
    <col min="15" max="16384" width="10.44140625" style="1"/>
  </cols>
  <sheetData>
    <row r="1" spans="1:14" ht="18" customHeight="1" x14ac:dyDescent="0.2">
      <c r="A1" s="2" t="s">
        <v>253</v>
      </c>
      <c r="G1" s="39"/>
      <c r="H1" s="187" t="s">
        <v>249</v>
      </c>
    </row>
    <row r="3" spans="1:14" ht="18" customHeight="1" x14ac:dyDescent="0.2">
      <c r="A3" s="43" t="s">
        <v>113</v>
      </c>
      <c r="B3" s="154" t="s">
        <v>247</v>
      </c>
      <c r="C3" s="154"/>
      <c r="D3" s="154"/>
      <c r="E3" s="154"/>
      <c r="F3" s="154"/>
      <c r="G3" s="9" t="s">
        <v>120</v>
      </c>
      <c r="H3" s="146">
        <v>850</v>
      </c>
      <c r="I3" s="147"/>
      <c r="J3" s="4" t="s">
        <v>32</v>
      </c>
      <c r="K3" s="75" t="s">
        <v>136</v>
      </c>
      <c r="L3" s="75"/>
      <c r="N3" s="42" t="s">
        <v>262</v>
      </c>
    </row>
    <row r="4" spans="1:14" ht="18" customHeight="1" x14ac:dyDescent="0.2">
      <c r="A4" s="44"/>
      <c r="B4" s="154" t="s">
        <v>135</v>
      </c>
      <c r="C4" s="154"/>
      <c r="D4" s="154"/>
      <c r="E4" s="154"/>
      <c r="F4" s="154"/>
      <c r="G4" s="9" t="s">
        <v>120</v>
      </c>
      <c r="H4" s="140">
        <f>H3*0.9</f>
        <v>765</v>
      </c>
      <c r="I4" s="141"/>
      <c r="J4" s="4" t="s">
        <v>33</v>
      </c>
      <c r="K4" s="136" t="s">
        <v>136</v>
      </c>
      <c r="L4" s="137"/>
      <c r="N4" s="42"/>
    </row>
    <row r="5" spans="1:14" ht="18" customHeight="1" x14ac:dyDescent="0.2">
      <c r="A5" s="44"/>
      <c r="B5" s="148" t="s">
        <v>137</v>
      </c>
      <c r="C5" s="69"/>
      <c r="D5" s="149" t="s">
        <v>79</v>
      </c>
      <c r="E5" s="150"/>
      <c r="F5" s="151"/>
      <c r="G5" s="9" t="s">
        <v>120</v>
      </c>
      <c r="H5" s="140">
        <f>H4</f>
        <v>765</v>
      </c>
      <c r="I5" s="141"/>
      <c r="J5" s="4" t="s">
        <v>34</v>
      </c>
      <c r="K5" s="136" t="s">
        <v>136</v>
      </c>
      <c r="L5" s="137"/>
      <c r="N5" s="42"/>
    </row>
    <row r="6" spans="1:14" ht="18" customHeight="1" x14ac:dyDescent="0.2">
      <c r="A6" s="44"/>
      <c r="B6" s="70"/>
      <c r="C6" s="72"/>
      <c r="D6" s="149" t="s">
        <v>112</v>
      </c>
      <c r="E6" s="150"/>
      <c r="F6" s="151"/>
      <c r="G6" s="9" t="s">
        <v>120</v>
      </c>
      <c r="H6" s="140">
        <f>H4*0.8*(1-0.55)+H4*(1-0.8)</f>
        <v>428.4</v>
      </c>
      <c r="I6" s="141"/>
      <c r="J6" s="4" t="s">
        <v>34</v>
      </c>
      <c r="K6" s="136" t="s">
        <v>136</v>
      </c>
      <c r="L6" s="137"/>
      <c r="N6" s="42"/>
    </row>
    <row r="7" spans="1:14" ht="18" customHeight="1" x14ac:dyDescent="0.2">
      <c r="A7" s="44"/>
      <c r="B7" s="154" t="s">
        <v>127</v>
      </c>
      <c r="C7" s="154"/>
      <c r="D7" s="154"/>
      <c r="E7" s="154"/>
      <c r="F7" s="154"/>
      <c r="G7" s="9" t="s">
        <v>124</v>
      </c>
      <c r="H7" s="140">
        <f>H4*0.01*0.8*500/24</f>
        <v>127.50000000000001</v>
      </c>
      <c r="I7" s="141"/>
      <c r="J7" s="4" t="s">
        <v>35</v>
      </c>
      <c r="K7" s="75" t="s">
        <v>152</v>
      </c>
      <c r="L7" s="75"/>
      <c r="N7" s="42"/>
    </row>
    <row r="8" spans="1:14" ht="18" customHeight="1" x14ac:dyDescent="0.2">
      <c r="A8" s="44"/>
      <c r="B8" s="154" t="s">
        <v>128</v>
      </c>
      <c r="C8" s="154"/>
      <c r="D8" s="154"/>
      <c r="E8" s="154"/>
      <c r="F8" s="154"/>
      <c r="G8" s="9" t="s">
        <v>125</v>
      </c>
      <c r="H8" s="140">
        <f>H4*0.01*0.8*500/2</f>
        <v>1530.0000000000002</v>
      </c>
      <c r="I8" s="141"/>
      <c r="J8" s="4" t="s">
        <v>36</v>
      </c>
      <c r="K8" s="75" t="s">
        <v>138</v>
      </c>
      <c r="L8" s="75"/>
      <c r="N8" s="42"/>
    </row>
    <row r="9" spans="1:14" ht="18" customHeight="1" x14ac:dyDescent="0.2">
      <c r="A9" s="45"/>
      <c r="B9" s="154" t="s">
        <v>129</v>
      </c>
      <c r="C9" s="154"/>
      <c r="D9" s="154"/>
      <c r="E9" s="154"/>
      <c r="F9" s="154"/>
      <c r="G9" s="9" t="s">
        <v>126</v>
      </c>
      <c r="H9" s="140">
        <f>ROUNDUP(H4*0.01*0.8*500*21.5*0.32*1000/3600/24/25,0)*25</f>
        <v>250</v>
      </c>
      <c r="I9" s="141"/>
      <c r="J9" s="4" t="s">
        <v>37</v>
      </c>
      <c r="K9" s="75"/>
      <c r="L9" s="75"/>
      <c r="N9" s="42"/>
    </row>
    <row r="10" spans="1:14" ht="18" customHeight="1" x14ac:dyDescent="0.2">
      <c r="A10" s="156" t="s">
        <v>187</v>
      </c>
      <c r="B10" s="154" t="s">
        <v>248</v>
      </c>
      <c r="C10" s="154"/>
      <c r="D10" s="154"/>
      <c r="E10" s="154"/>
      <c r="F10" s="154"/>
      <c r="G10" s="9" t="s">
        <v>130</v>
      </c>
      <c r="H10" s="142">
        <f>H3*0.01</f>
        <v>8.5</v>
      </c>
      <c r="I10" s="143"/>
      <c r="J10" s="4" t="s">
        <v>30</v>
      </c>
      <c r="K10" s="75" t="s">
        <v>133</v>
      </c>
      <c r="L10" s="75"/>
      <c r="N10" s="42"/>
    </row>
    <row r="11" spans="1:14" ht="18" customHeight="1" x14ac:dyDescent="0.2">
      <c r="A11" s="157"/>
      <c r="B11" s="154" t="s">
        <v>132</v>
      </c>
      <c r="C11" s="154"/>
      <c r="D11" s="154"/>
      <c r="E11" s="154"/>
      <c r="F11" s="154"/>
      <c r="G11" s="9" t="s">
        <v>131</v>
      </c>
      <c r="H11" s="140">
        <f>H10*0.95*0.8*500</f>
        <v>3230</v>
      </c>
      <c r="I11" s="141"/>
      <c r="J11" s="4" t="s">
        <v>31</v>
      </c>
      <c r="K11" s="75" t="s">
        <v>134</v>
      </c>
      <c r="L11" s="75"/>
      <c r="N11" s="42"/>
    </row>
    <row r="12" spans="1:14" ht="18" customHeight="1" x14ac:dyDescent="0.2">
      <c r="A12" s="157"/>
      <c r="B12" s="154" t="s">
        <v>137</v>
      </c>
      <c r="C12" s="154"/>
      <c r="D12" s="154"/>
      <c r="E12" s="154"/>
      <c r="F12" s="154"/>
      <c r="G12" s="9" t="s">
        <v>120</v>
      </c>
      <c r="H12" s="140">
        <f>H10/0.01*0.95*0.8*(1-0.55)+H10/0.01*0.95*(1-0.8)</f>
        <v>452.19999999999993</v>
      </c>
      <c r="I12" s="141"/>
      <c r="J12" s="4" t="s">
        <v>34</v>
      </c>
      <c r="K12" s="136" t="s">
        <v>136</v>
      </c>
      <c r="L12" s="137"/>
      <c r="N12" s="42"/>
    </row>
    <row r="13" spans="1:14" ht="18" customHeight="1" x14ac:dyDescent="0.2">
      <c r="B13" s="15"/>
      <c r="C13" s="15"/>
      <c r="D13" s="15"/>
      <c r="E13" s="15"/>
      <c r="F13" s="15"/>
      <c r="G13" s="3"/>
      <c r="H13" s="15"/>
      <c r="I13" s="15"/>
      <c r="K13" s="23"/>
      <c r="L13" s="23"/>
      <c r="N13" s="42"/>
    </row>
    <row r="14" spans="1:14" ht="18" customHeight="1" x14ac:dyDescent="0.2">
      <c r="B14" s="163" t="s">
        <v>240</v>
      </c>
      <c r="C14" s="163"/>
      <c r="D14" s="163"/>
      <c r="E14" s="163"/>
      <c r="F14" s="163"/>
      <c r="G14" s="3"/>
      <c r="H14" s="15"/>
      <c r="I14" s="15"/>
      <c r="K14" s="23"/>
      <c r="L14" s="23"/>
      <c r="N14" s="42"/>
    </row>
    <row r="15" spans="1:14" ht="18" customHeight="1" x14ac:dyDescent="0.2">
      <c r="B15" s="154" t="s">
        <v>171</v>
      </c>
      <c r="C15" s="154"/>
      <c r="D15" s="154"/>
      <c r="E15" s="154"/>
      <c r="F15" s="154"/>
      <c r="G15" s="25" t="s">
        <v>176</v>
      </c>
      <c r="H15" s="155">
        <v>16.5</v>
      </c>
      <c r="I15" s="155"/>
      <c r="J15" s="26" t="s">
        <v>224</v>
      </c>
      <c r="K15" s="176"/>
      <c r="L15" s="176"/>
      <c r="N15" s="42"/>
    </row>
    <row r="16" spans="1:14" ht="18" customHeight="1" x14ac:dyDescent="0.2">
      <c r="B16" s="154" t="s">
        <v>250</v>
      </c>
      <c r="C16" s="154"/>
      <c r="D16" s="154"/>
      <c r="E16" s="154"/>
      <c r="F16" s="154"/>
      <c r="G16" s="25" t="s">
        <v>177</v>
      </c>
      <c r="H16" s="155">
        <v>566</v>
      </c>
      <c r="I16" s="155"/>
      <c r="J16" s="26" t="s">
        <v>225</v>
      </c>
      <c r="K16" s="176"/>
      <c r="L16" s="176"/>
      <c r="N16" s="42"/>
    </row>
    <row r="17" spans="2:14" ht="18" customHeight="1" x14ac:dyDescent="0.2">
      <c r="B17" s="154" t="s">
        <v>173</v>
      </c>
      <c r="C17" s="154"/>
      <c r="D17" s="154"/>
      <c r="E17" s="154"/>
      <c r="F17" s="154"/>
      <c r="G17" s="25" t="s">
        <v>178</v>
      </c>
      <c r="H17" s="155">
        <v>309.10000000000002</v>
      </c>
      <c r="I17" s="155"/>
      <c r="J17" s="26" t="s">
        <v>226</v>
      </c>
      <c r="K17" s="176"/>
      <c r="L17" s="176"/>
      <c r="N17" s="42"/>
    </row>
    <row r="18" spans="2:14" ht="18" customHeight="1" x14ac:dyDescent="0.2">
      <c r="B18" s="154" t="s">
        <v>174</v>
      </c>
      <c r="C18" s="154"/>
      <c r="D18" s="154"/>
      <c r="E18" s="154"/>
      <c r="F18" s="154"/>
      <c r="G18" s="25" t="s">
        <v>177</v>
      </c>
      <c r="H18" s="155">
        <v>38.9</v>
      </c>
      <c r="I18" s="155"/>
      <c r="J18" s="26" t="s">
        <v>227</v>
      </c>
      <c r="K18" s="176"/>
      <c r="L18" s="176"/>
      <c r="N18" s="42"/>
    </row>
    <row r="19" spans="2:14" ht="18" customHeight="1" x14ac:dyDescent="0.2">
      <c r="B19" s="154" t="s">
        <v>175</v>
      </c>
      <c r="C19" s="154"/>
      <c r="D19" s="154"/>
      <c r="E19" s="154"/>
      <c r="F19" s="154"/>
      <c r="G19" s="25" t="s">
        <v>179</v>
      </c>
      <c r="H19" s="165">
        <v>7</v>
      </c>
      <c r="I19" s="165"/>
      <c r="J19" s="26" t="s">
        <v>229</v>
      </c>
      <c r="K19" s="176"/>
      <c r="L19" s="176"/>
      <c r="N19" s="42"/>
    </row>
    <row r="20" spans="2:14" ht="18" customHeight="1" x14ac:dyDescent="0.2">
      <c r="B20" s="154" t="s">
        <v>246</v>
      </c>
      <c r="C20" s="154"/>
      <c r="D20" s="154"/>
      <c r="E20" s="154"/>
      <c r="F20" s="154"/>
      <c r="G20" s="25" t="s">
        <v>180</v>
      </c>
      <c r="H20" s="164">
        <v>22000</v>
      </c>
      <c r="I20" s="164"/>
      <c r="J20" s="26" t="s">
        <v>228</v>
      </c>
      <c r="K20" s="176"/>
      <c r="L20" s="176"/>
      <c r="N20" s="42"/>
    </row>
    <row r="21" spans="2:14" ht="18" customHeight="1" x14ac:dyDescent="0.2">
      <c r="B21" s="15"/>
      <c r="C21" s="15"/>
      <c r="D21" s="15"/>
      <c r="E21" s="15"/>
      <c r="F21" s="15"/>
      <c r="G21" s="36"/>
      <c r="H21" s="15"/>
      <c r="I21" s="15"/>
      <c r="K21" s="24"/>
      <c r="L21" s="24"/>
      <c r="N21" s="42"/>
    </row>
    <row r="22" spans="2:14" ht="18" customHeight="1" x14ac:dyDescent="0.2">
      <c r="B22" s="15" t="s">
        <v>169</v>
      </c>
      <c r="C22" s="15"/>
      <c r="D22" s="15"/>
      <c r="E22" s="15"/>
      <c r="F22" s="15"/>
      <c r="G22" s="36"/>
      <c r="H22" s="15"/>
      <c r="I22" s="15"/>
      <c r="K22" s="24"/>
      <c r="L22" s="24"/>
      <c r="N22" s="42"/>
    </row>
    <row r="23" spans="2:14" ht="18" customHeight="1" x14ac:dyDescent="0.2">
      <c r="B23" s="154" t="s">
        <v>171</v>
      </c>
      <c r="C23" s="154"/>
      <c r="D23" s="154"/>
      <c r="E23" s="154"/>
      <c r="F23" s="154"/>
      <c r="G23" s="25" t="s">
        <v>183</v>
      </c>
      <c r="H23" s="155">
        <v>4.8799999999999999E-4</v>
      </c>
      <c r="I23" s="155"/>
      <c r="J23" s="26" t="s">
        <v>188</v>
      </c>
      <c r="K23" s="176"/>
      <c r="L23" s="176"/>
      <c r="N23" s="42"/>
    </row>
    <row r="24" spans="2:14" ht="18" customHeight="1" x14ac:dyDescent="0.2">
      <c r="B24" s="154" t="s">
        <v>172</v>
      </c>
      <c r="C24" s="154"/>
      <c r="D24" s="154"/>
      <c r="E24" s="154"/>
      <c r="F24" s="154"/>
      <c r="G24" s="25" t="s">
        <v>184</v>
      </c>
      <c r="H24" s="155">
        <v>6.5</v>
      </c>
      <c r="I24" s="155"/>
      <c r="J24" s="26" t="s">
        <v>189</v>
      </c>
      <c r="K24" s="176"/>
      <c r="L24" s="176"/>
      <c r="N24" s="42"/>
    </row>
    <row r="25" spans="2:14" ht="18" customHeight="1" x14ac:dyDescent="0.2">
      <c r="B25" s="154" t="s">
        <v>173</v>
      </c>
      <c r="C25" s="154"/>
      <c r="D25" s="154"/>
      <c r="E25" s="154"/>
      <c r="F25" s="154"/>
      <c r="G25" s="25" t="s">
        <v>186</v>
      </c>
      <c r="H25" s="182">
        <v>2E-3</v>
      </c>
      <c r="I25" s="182"/>
      <c r="J25" s="26" t="s">
        <v>190</v>
      </c>
      <c r="K25" s="176"/>
      <c r="L25" s="176"/>
      <c r="N25" s="42"/>
    </row>
    <row r="26" spans="2:14" ht="18" customHeight="1" x14ac:dyDescent="0.2">
      <c r="B26" s="154" t="s">
        <v>174</v>
      </c>
      <c r="C26" s="154"/>
      <c r="D26" s="154"/>
      <c r="E26" s="154"/>
      <c r="F26" s="154"/>
      <c r="G26" s="25" t="s">
        <v>184</v>
      </c>
      <c r="H26" s="155">
        <v>3.0800000000000001E-2</v>
      </c>
      <c r="I26" s="155"/>
      <c r="J26" s="26" t="s">
        <v>191</v>
      </c>
      <c r="K26" s="176"/>
      <c r="L26" s="176"/>
      <c r="N26" s="42"/>
    </row>
    <row r="27" spans="2:14" ht="18" customHeight="1" x14ac:dyDescent="0.2">
      <c r="B27" s="154" t="s">
        <v>181</v>
      </c>
      <c r="C27" s="154"/>
      <c r="D27" s="154"/>
      <c r="E27" s="154"/>
      <c r="F27" s="154"/>
      <c r="G27" s="25" t="s">
        <v>184</v>
      </c>
      <c r="H27" s="155">
        <v>0.26</v>
      </c>
      <c r="I27" s="155"/>
      <c r="J27" s="26" t="s">
        <v>192</v>
      </c>
      <c r="K27" s="176"/>
      <c r="L27" s="176"/>
      <c r="N27" s="42"/>
    </row>
    <row r="28" spans="2:14" ht="18" customHeight="1" x14ac:dyDescent="0.2">
      <c r="B28" s="154" t="s">
        <v>182</v>
      </c>
      <c r="C28" s="154"/>
      <c r="D28" s="154"/>
      <c r="E28" s="154"/>
      <c r="F28" s="154"/>
      <c r="G28" s="25" t="s">
        <v>185</v>
      </c>
      <c r="H28" s="155">
        <v>2.3199999999999998</v>
      </c>
      <c r="I28" s="155"/>
      <c r="J28" s="26" t="s">
        <v>193</v>
      </c>
      <c r="K28" s="176"/>
      <c r="L28" s="176"/>
      <c r="N28" s="42"/>
    </row>
    <row r="29" spans="2:14" ht="18" customHeight="1" x14ac:dyDescent="0.2">
      <c r="B29" s="15"/>
      <c r="C29" s="15"/>
      <c r="D29" s="15"/>
      <c r="E29" s="15"/>
      <c r="F29" s="15"/>
      <c r="G29" s="3"/>
      <c r="H29" s="15"/>
      <c r="I29" s="15"/>
      <c r="K29" s="23"/>
      <c r="L29" s="23"/>
      <c r="N29" s="42"/>
    </row>
    <row r="30" spans="2:14" ht="18" customHeight="1" x14ac:dyDescent="0.2">
      <c r="B30" s="15" t="s">
        <v>213</v>
      </c>
      <c r="C30" s="15"/>
      <c r="D30" s="15"/>
      <c r="E30" s="15"/>
      <c r="F30" s="15"/>
      <c r="G30" s="3"/>
      <c r="H30" s="15"/>
      <c r="I30" s="15"/>
      <c r="K30" s="23"/>
      <c r="L30" s="23"/>
      <c r="N30" s="37"/>
    </row>
    <row r="31" spans="2:14" ht="18" customHeight="1" x14ac:dyDescent="0.2">
      <c r="B31" s="90" t="s">
        <v>207</v>
      </c>
      <c r="C31" s="47"/>
      <c r="D31" s="47"/>
      <c r="E31" s="47"/>
      <c r="F31" s="48"/>
      <c r="G31" s="26" t="s">
        <v>211</v>
      </c>
      <c r="H31" s="90" t="s">
        <v>214</v>
      </c>
      <c r="I31" s="47"/>
      <c r="J31" s="48"/>
      <c r="K31" s="23"/>
      <c r="L31" s="23"/>
      <c r="N31" s="37"/>
    </row>
    <row r="32" spans="2:14" ht="18" customHeight="1" x14ac:dyDescent="0.2">
      <c r="B32" s="149" t="s">
        <v>208</v>
      </c>
      <c r="C32" s="150"/>
      <c r="D32" s="150"/>
      <c r="E32" s="150"/>
      <c r="F32" s="151"/>
      <c r="G32" s="26" t="s">
        <v>212</v>
      </c>
      <c r="H32" s="26" t="s">
        <v>215</v>
      </c>
      <c r="I32" s="26" t="s">
        <v>216</v>
      </c>
      <c r="J32" s="179">
        <v>110.5</v>
      </c>
      <c r="K32" s="23"/>
      <c r="L32" s="23"/>
      <c r="N32" s="37"/>
    </row>
    <row r="33" spans="1:14" ht="18" customHeight="1" x14ac:dyDescent="0.2">
      <c r="B33" s="149" t="s">
        <v>209</v>
      </c>
      <c r="C33" s="150"/>
      <c r="D33" s="150"/>
      <c r="E33" s="150"/>
      <c r="F33" s="151"/>
      <c r="G33" s="26" t="s">
        <v>212</v>
      </c>
      <c r="H33" s="26" t="s">
        <v>217</v>
      </c>
      <c r="I33" s="26" t="s">
        <v>216</v>
      </c>
      <c r="J33" s="180"/>
      <c r="K33" s="23"/>
      <c r="L33" s="23"/>
      <c r="N33" s="37"/>
    </row>
    <row r="34" spans="1:14" ht="18" customHeight="1" x14ac:dyDescent="0.2">
      <c r="B34" s="149" t="s">
        <v>210</v>
      </c>
      <c r="C34" s="150"/>
      <c r="D34" s="150"/>
      <c r="E34" s="150"/>
      <c r="F34" s="151"/>
      <c r="G34" s="26" t="s">
        <v>212</v>
      </c>
      <c r="H34" s="26" t="s">
        <v>251</v>
      </c>
      <c r="I34" s="26" t="s">
        <v>216</v>
      </c>
      <c r="J34" s="181"/>
      <c r="K34" s="23"/>
      <c r="L34" s="23"/>
      <c r="N34" s="37"/>
    </row>
    <row r="35" spans="1:14" ht="18" customHeight="1" x14ac:dyDescent="0.2">
      <c r="B35" s="15"/>
      <c r="C35" s="15"/>
      <c r="D35" s="15"/>
      <c r="E35" s="15"/>
      <c r="F35" s="15"/>
      <c r="G35" s="3"/>
      <c r="H35" s="15"/>
      <c r="I35" s="15"/>
      <c r="K35" s="23"/>
      <c r="L35" s="23"/>
      <c r="N35" s="37"/>
    </row>
    <row r="36" spans="1:14" ht="18" customHeight="1" x14ac:dyDescent="0.2">
      <c r="B36" s="15" t="s">
        <v>170</v>
      </c>
      <c r="C36" s="15"/>
      <c r="D36" s="15"/>
      <c r="E36" s="15"/>
      <c r="F36" s="15"/>
      <c r="G36" s="3"/>
      <c r="H36" s="15"/>
      <c r="I36" s="15"/>
      <c r="K36" s="23"/>
      <c r="L36" s="23"/>
      <c r="N36" s="37"/>
    </row>
    <row r="37" spans="1:14" ht="18" customHeight="1" x14ac:dyDescent="0.2">
      <c r="B37" s="149" t="s">
        <v>122</v>
      </c>
      <c r="C37" s="150"/>
      <c r="D37" s="150"/>
      <c r="E37" s="150"/>
      <c r="F37" s="151"/>
      <c r="G37" s="8" t="s">
        <v>119</v>
      </c>
      <c r="H37" s="152">
        <v>2.2999999999999998</v>
      </c>
      <c r="I37" s="153"/>
      <c r="J37" s="9" t="s">
        <v>40</v>
      </c>
      <c r="K37" s="23"/>
      <c r="L37" s="23"/>
      <c r="N37" s="37"/>
    </row>
    <row r="38" spans="1:14" ht="18" customHeight="1" x14ac:dyDescent="0.2">
      <c r="B38" s="192" t="s">
        <v>123</v>
      </c>
      <c r="C38" s="189" t="s">
        <v>38</v>
      </c>
      <c r="D38" s="11" t="s">
        <v>149</v>
      </c>
      <c r="E38" s="12"/>
      <c r="F38" s="13"/>
      <c r="G38" s="49" t="s">
        <v>121</v>
      </c>
      <c r="H38" s="138">
        <v>20</v>
      </c>
      <c r="I38" s="139"/>
      <c r="J38" s="49" t="s">
        <v>41</v>
      </c>
      <c r="K38" s="23"/>
      <c r="L38" s="23"/>
      <c r="N38" s="41"/>
    </row>
    <row r="39" spans="1:14" ht="18" customHeight="1" x14ac:dyDescent="0.2">
      <c r="B39" s="193"/>
      <c r="C39" s="190"/>
      <c r="D39" s="11" t="s">
        <v>260</v>
      </c>
      <c r="E39" s="12"/>
      <c r="F39" s="13"/>
      <c r="G39" s="50"/>
      <c r="H39" s="138">
        <v>15</v>
      </c>
      <c r="I39" s="139"/>
      <c r="J39" s="50"/>
      <c r="K39" s="23"/>
      <c r="L39" s="23"/>
      <c r="N39" s="37"/>
    </row>
    <row r="40" spans="1:14" ht="18" customHeight="1" x14ac:dyDescent="0.2">
      <c r="B40" s="193"/>
      <c r="C40" s="191"/>
      <c r="D40" s="11" t="s">
        <v>14</v>
      </c>
      <c r="E40" s="12"/>
      <c r="F40" s="13"/>
      <c r="G40" s="50"/>
      <c r="H40" s="138">
        <v>45</v>
      </c>
      <c r="I40" s="139"/>
      <c r="J40" s="50"/>
      <c r="K40" s="23"/>
      <c r="L40" s="23"/>
      <c r="N40" s="37"/>
    </row>
    <row r="41" spans="1:14" ht="18" customHeight="1" x14ac:dyDescent="0.2">
      <c r="B41" s="193"/>
      <c r="C41" s="161" t="s">
        <v>39</v>
      </c>
      <c r="D41" s="11" t="s">
        <v>13</v>
      </c>
      <c r="E41" s="12"/>
      <c r="F41" s="13"/>
      <c r="G41" s="50"/>
      <c r="H41" s="138">
        <v>15</v>
      </c>
      <c r="I41" s="139"/>
      <c r="J41" s="50"/>
      <c r="K41" s="23"/>
      <c r="L41" s="23"/>
      <c r="N41" s="37"/>
    </row>
    <row r="42" spans="1:14" ht="18" customHeight="1" x14ac:dyDescent="0.2">
      <c r="B42" s="194"/>
      <c r="C42" s="162"/>
      <c r="D42" s="11" t="s">
        <v>14</v>
      </c>
      <c r="E42" s="12"/>
      <c r="F42" s="13"/>
      <c r="G42" s="51"/>
      <c r="H42" s="138">
        <v>50</v>
      </c>
      <c r="I42" s="139"/>
      <c r="J42" s="51"/>
      <c r="K42" s="23"/>
      <c r="L42" s="23"/>
      <c r="N42" s="37"/>
    </row>
    <row r="43" spans="1:14" ht="18" customHeight="1" x14ac:dyDescent="0.2">
      <c r="K43" s="23"/>
      <c r="L43" s="23"/>
      <c r="N43" s="37"/>
    </row>
    <row r="44" spans="1:14" ht="18" customHeight="1" x14ac:dyDescent="0.2">
      <c r="K44" s="23"/>
      <c r="L44" s="23"/>
      <c r="N44" s="37"/>
    </row>
    <row r="45" spans="1:14" ht="18" customHeight="1" x14ac:dyDescent="0.2">
      <c r="A45" s="2" t="s">
        <v>242</v>
      </c>
    </row>
    <row r="46" spans="1:14" ht="18" customHeight="1" x14ac:dyDescent="0.2">
      <c r="K46" s="23"/>
      <c r="L46" s="23"/>
      <c r="N46" s="38"/>
    </row>
    <row r="47" spans="1:14" ht="18" customHeight="1" x14ac:dyDescent="0.2">
      <c r="K47" s="23"/>
      <c r="L47" s="23"/>
      <c r="N47" s="38"/>
    </row>
    <row r="48" spans="1:14" ht="18" customHeight="1" x14ac:dyDescent="0.2">
      <c r="K48" s="23"/>
      <c r="L48" s="23"/>
      <c r="N48" s="38"/>
    </row>
    <row r="49" spans="11:14" ht="18" customHeight="1" x14ac:dyDescent="0.2">
      <c r="K49" s="23"/>
      <c r="L49" s="23"/>
      <c r="N49" s="38"/>
    </row>
    <row r="50" spans="11:14" ht="18" customHeight="1" x14ac:dyDescent="0.2">
      <c r="K50" s="23"/>
      <c r="L50" s="23"/>
      <c r="N50" s="38"/>
    </row>
    <row r="51" spans="11:14" ht="18" customHeight="1" x14ac:dyDescent="0.2">
      <c r="K51" s="23"/>
      <c r="L51" s="23"/>
      <c r="N51" s="38"/>
    </row>
    <row r="52" spans="11:14" ht="18" customHeight="1" x14ac:dyDescent="0.2">
      <c r="K52" s="23"/>
      <c r="L52" s="23"/>
      <c r="N52" s="38"/>
    </row>
    <row r="53" spans="11:14" ht="18" customHeight="1" x14ac:dyDescent="0.2">
      <c r="K53" s="23"/>
      <c r="L53" s="23"/>
      <c r="N53" s="38"/>
    </row>
    <row r="54" spans="11:14" ht="18" customHeight="1" x14ac:dyDescent="0.2">
      <c r="K54" s="23"/>
      <c r="L54" s="23"/>
      <c r="N54" s="38"/>
    </row>
    <row r="55" spans="11:14" ht="18" customHeight="1" x14ac:dyDescent="0.2">
      <c r="K55" s="23"/>
      <c r="L55" s="23"/>
      <c r="N55" s="38"/>
    </row>
    <row r="56" spans="11:14" ht="18" customHeight="1" x14ac:dyDescent="0.2">
      <c r="K56" s="23"/>
      <c r="L56" s="23"/>
      <c r="N56" s="38"/>
    </row>
    <row r="57" spans="11:14" ht="18" customHeight="1" x14ac:dyDescent="0.2">
      <c r="K57" s="23"/>
      <c r="L57" s="23"/>
      <c r="N57" s="38"/>
    </row>
    <row r="58" spans="11:14" ht="18" customHeight="1" x14ac:dyDescent="0.2">
      <c r="K58" s="23"/>
      <c r="L58" s="23"/>
      <c r="N58" s="38"/>
    </row>
    <row r="59" spans="11:14" ht="18" customHeight="1" x14ac:dyDescent="0.2">
      <c r="K59" s="23"/>
      <c r="L59" s="23"/>
      <c r="N59" s="38"/>
    </row>
    <row r="60" spans="11:14" ht="18" customHeight="1" x14ac:dyDescent="0.2">
      <c r="K60" s="23"/>
      <c r="L60" s="23"/>
      <c r="N60" s="38"/>
    </row>
    <row r="61" spans="11:14" ht="18" customHeight="1" x14ac:dyDescent="0.2">
      <c r="K61" s="23"/>
      <c r="L61" s="23"/>
      <c r="N61" s="38"/>
    </row>
    <row r="62" spans="11:14" ht="18" customHeight="1" x14ac:dyDescent="0.2">
      <c r="K62" s="23"/>
      <c r="L62" s="23"/>
      <c r="N62" s="38"/>
    </row>
    <row r="63" spans="11:14" ht="18" customHeight="1" x14ac:dyDescent="0.2">
      <c r="K63" s="23"/>
      <c r="L63" s="23"/>
      <c r="N63" s="38"/>
    </row>
    <row r="64" spans="11:14" ht="18" customHeight="1" x14ac:dyDescent="0.2">
      <c r="K64" s="23"/>
      <c r="L64" s="23"/>
      <c r="N64" s="38"/>
    </row>
    <row r="65" spans="1:14" ht="18" customHeight="1" x14ac:dyDescent="0.2">
      <c r="K65" s="23"/>
      <c r="L65" s="23"/>
      <c r="N65" s="38"/>
    </row>
    <row r="66" spans="1:14" ht="18" customHeight="1" x14ac:dyDescent="0.2">
      <c r="K66" s="23"/>
      <c r="L66" s="23"/>
      <c r="N66" s="38"/>
    </row>
    <row r="67" spans="1:14" ht="18" customHeight="1" x14ac:dyDescent="0.2">
      <c r="K67" s="23"/>
      <c r="L67" s="23"/>
      <c r="N67" s="38"/>
    </row>
    <row r="68" spans="1:14" ht="18" customHeight="1" x14ac:dyDescent="0.2">
      <c r="K68" s="23"/>
      <c r="L68" s="23"/>
      <c r="N68" s="38"/>
    </row>
    <row r="69" spans="1:14" ht="18" customHeight="1" x14ac:dyDescent="0.2">
      <c r="K69" s="23"/>
      <c r="L69" s="23"/>
      <c r="N69" s="38"/>
    </row>
    <row r="70" spans="1:14" ht="18" customHeight="1" x14ac:dyDescent="0.2">
      <c r="K70" s="23"/>
      <c r="L70" s="23"/>
      <c r="N70" s="38"/>
    </row>
    <row r="71" spans="1:14" ht="18" customHeight="1" x14ac:dyDescent="0.2">
      <c r="K71" s="23"/>
      <c r="L71" s="23"/>
      <c r="N71" s="38"/>
    </row>
    <row r="72" spans="1:14" ht="18" customHeight="1" x14ac:dyDescent="0.2">
      <c r="K72" s="23"/>
      <c r="L72" s="23"/>
      <c r="N72" s="38"/>
    </row>
    <row r="73" spans="1:14" ht="18" customHeight="1" x14ac:dyDescent="0.2">
      <c r="K73" s="23"/>
      <c r="L73" s="23"/>
      <c r="N73" s="38"/>
    </row>
    <row r="74" spans="1:14" ht="18" customHeight="1" x14ac:dyDescent="0.2">
      <c r="A74" s="2" t="s">
        <v>118</v>
      </c>
      <c r="K74" s="23"/>
      <c r="L74" s="23"/>
      <c r="N74" s="37"/>
    </row>
    <row r="75" spans="1:14" ht="18" customHeight="1" x14ac:dyDescent="0.2">
      <c r="K75" s="23"/>
      <c r="L75" s="23"/>
      <c r="N75" s="37"/>
    </row>
    <row r="76" spans="1:14" ht="18" customHeight="1" x14ac:dyDescent="0.2">
      <c r="A76" s="43" t="s">
        <v>0</v>
      </c>
      <c r="B76" s="76" t="s">
        <v>114</v>
      </c>
      <c r="C76" s="64"/>
      <c r="D76" s="46" t="s">
        <v>79</v>
      </c>
      <c r="E76" s="46"/>
      <c r="F76" s="46" t="s">
        <v>5</v>
      </c>
      <c r="G76" s="144">
        <f>K121+J160</f>
        <v>190.22851001854227</v>
      </c>
      <c r="H76" s="145"/>
      <c r="K76" s="23"/>
      <c r="L76" s="23"/>
      <c r="N76" s="37"/>
    </row>
    <row r="77" spans="1:14" ht="18" customHeight="1" x14ac:dyDescent="0.2">
      <c r="A77" s="44"/>
      <c r="B77" s="132"/>
      <c r="C77" s="133"/>
      <c r="D77" s="46" t="s">
        <v>80</v>
      </c>
      <c r="E77" s="46"/>
      <c r="F77" s="46"/>
      <c r="G77" s="144">
        <f>K122+J161</f>
        <v>196.00999829593599</v>
      </c>
      <c r="H77" s="145"/>
      <c r="K77" s="23"/>
      <c r="L77" s="23"/>
      <c r="N77" s="37"/>
    </row>
    <row r="78" spans="1:14" ht="18" customHeight="1" x14ac:dyDescent="0.2">
      <c r="A78" s="44"/>
      <c r="B78" s="132"/>
      <c r="C78" s="133"/>
      <c r="D78" s="46" t="s">
        <v>243</v>
      </c>
      <c r="E78" s="46"/>
      <c r="F78" s="46"/>
      <c r="G78" s="144">
        <f>K123+J162</f>
        <v>213.10957951805116</v>
      </c>
      <c r="H78" s="145"/>
      <c r="K78" s="23"/>
      <c r="L78" s="23"/>
      <c r="N78" s="37"/>
    </row>
    <row r="79" spans="1:14" ht="18" customHeight="1" x14ac:dyDescent="0.2">
      <c r="A79" s="44"/>
      <c r="B79" s="65"/>
      <c r="C79" s="66"/>
      <c r="D79" s="46" t="s">
        <v>81</v>
      </c>
      <c r="E79" s="46"/>
      <c r="F79" s="46"/>
      <c r="G79" s="144">
        <f>K124+J163</f>
        <v>167.491745637387</v>
      </c>
      <c r="H79" s="145"/>
      <c r="K79" s="23"/>
      <c r="L79" s="23"/>
      <c r="N79" s="37"/>
    </row>
    <row r="80" spans="1:14" ht="18" customHeight="1" x14ac:dyDescent="0.2">
      <c r="A80" s="44"/>
      <c r="B80" s="76" t="s">
        <v>106</v>
      </c>
      <c r="C80" s="77"/>
      <c r="D80" s="46" t="s">
        <v>79</v>
      </c>
      <c r="E80" s="46"/>
      <c r="F80" s="46" t="s">
        <v>116</v>
      </c>
      <c r="G80" s="144">
        <f>J195</f>
        <v>-1720.0755770908186</v>
      </c>
      <c r="H80" s="145"/>
      <c r="K80" s="23"/>
      <c r="L80" s="23"/>
      <c r="N80" s="37"/>
    </row>
    <row r="81" spans="1:14" ht="18" customHeight="1" x14ac:dyDescent="0.2">
      <c r="A81" s="44"/>
      <c r="B81" s="78"/>
      <c r="C81" s="79"/>
      <c r="D81" s="46" t="s">
        <v>80</v>
      </c>
      <c r="E81" s="46"/>
      <c r="F81" s="46"/>
      <c r="G81" s="144">
        <f t="shared" ref="G81:G83" si="0">J196</f>
        <v>-5757.0446437978571</v>
      </c>
      <c r="H81" s="145"/>
      <c r="K81" s="23"/>
      <c r="L81" s="23"/>
      <c r="N81" s="37"/>
    </row>
    <row r="82" spans="1:14" ht="18" customHeight="1" x14ac:dyDescent="0.2">
      <c r="A82" s="44"/>
      <c r="B82" s="78"/>
      <c r="C82" s="79"/>
      <c r="D82" s="46" t="s">
        <v>243</v>
      </c>
      <c r="E82" s="46"/>
      <c r="F82" s="46"/>
      <c r="G82" s="144">
        <f t="shared" si="0"/>
        <v>8419.1529754021431</v>
      </c>
      <c r="H82" s="145"/>
      <c r="K82" s="23"/>
      <c r="L82" s="23"/>
      <c r="N82" s="37"/>
    </row>
    <row r="83" spans="1:14" ht="18" customHeight="1" x14ac:dyDescent="0.2">
      <c r="A83" s="44"/>
      <c r="B83" s="80"/>
      <c r="C83" s="81"/>
      <c r="D83" s="46" t="s">
        <v>81</v>
      </c>
      <c r="E83" s="46"/>
      <c r="F83" s="46"/>
      <c r="G83" s="144">
        <f t="shared" si="0"/>
        <v>-5980.0491196363637</v>
      </c>
      <c r="H83" s="145"/>
      <c r="K83" s="23"/>
      <c r="L83" s="23"/>
      <c r="N83" s="37"/>
    </row>
    <row r="84" spans="1:14" ht="18" customHeight="1" x14ac:dyDescent="0.2">
      <c r="A84" s="44"/>
      <c r="B84" s="76" t="s">
        <v>115</v>
      </c>
      <c r="C84" s="77"/>
      <c r="D84" s="46" t="s">
        <v>79</v>
      </c>
      <c r="E84" s="46"/>
      <c r="F84" s="46" t="s">
        <v>117</v>
      </c>
      <c r="G84" s="144">
        <f>J225</f>
        <v>286.94253028472372</v>
      </c>
      <c r="H84" s="145"/>
      <c r="K84" s="23"/>
      <c r="L84" s="23"/>
      <c r="N84" s="37"/>
    </row>
    <row r="85" spans="1:14" ht="18" customHeight="1" x14ac:dyDescent="0.2">
      <c r="A85" s="44"/>
      <c r="B85" s="78"/>
      <c r="C85" s="79"/>
      <c r="D85" s="46" t="s">
        <v>80</v>
      </c>
      <c r="E85" s="46"/>
      <c r="F85" s="46"/>
      <c r="G85" s="144">
        <f t="shared" ref="G85:G87" si="1">J226</f>
        <v>450.52521762772608</v>
      </c>
      <c r="H85" s="145"/>
      <c r="K85" s="23"/>
      <c r="L85" s="23"/>
    </row>
    <row r="86" spans="1:14" ht="18" customHeight="1" x14ac:dyDescent="0.2">
      <c r="A86" s="44"/>
      <c r="B86" s="78"/>
      <c r="C86" s="79"/>
      <c r="D86" s="46" t="s">
        <v>243</v>
      </c>
      <c r="E86" s="46"/>
      <c r="F86" s="46"/>
      <c r="G86" s="144">
        <f t="shared" si="1"/>
        <v>-278.91219677227389</v>
      </c>
      <c r="H86" s="145"/>
      <c r="K86" s="23"/>
      <c r="L86" s="23"/>
    </row>
    <row r="87" spans="1:14" ht="18" customHeight="1" x14ac:dyDescent="0.2">
      <c r="A87" s="45"/>
      <c r="B87" s="80"/>
      <c r="C87" s="81"/>
      <c r="D87" s="46" t="s">
        <v>81</v>
      </c>
      <c r="E87" s="46"/>
      <c r="F87" s="46"/>
      <c r="G87" s="144">
        <f t="shared" si="1"/>
        <v>331.90341927272726</v>
      </c>
      <c r="H87" s="145"/>
      <c r="K87" s="23"/>
      <c r="L87" s="23"/>
    </row>
    <row r="88" spans="1:14" ht="18" customHeight="1" x14ac:dyDescent="0.2">
      <c r="A88" s="43" t="s">
        <v>1</v>
      </c>
      <c r="B88" s="76" t="s">
        <v>114</v>
      </c>
      <c r="C88" s="64"/>
      <c r="D88" s="46" t="s">
        <v>82</v>
      </c>
      <c r="E88" s="46"/>
      <c r="F88" s="49" t="s">
        <v>5</v>
      </c>
      <c r="G88" s="144">
        <f>K138+J179</f>
        <v>157.19807507503637</v>
      </c>
      <c r="H88" s="145"/>
      <c r="K88" s="23"/>
      <c r="L88" s="23"/>
    </row>
    <row r="89" spans="1:14" ht="18" customHeight="1" x14ac:dyDescent="0.2">
      <c r="A89" s="44"/>
      <c r="B89" s="132"/>
      <c r="C89" s="133"/>
      <c r="D89" s="46" t="s">
        <v>83</v>
      </c>
      <c r="E89" s="46"/>
      <c r="F89" s="50"/>
      <c r="G89" s="144">
        <f>K139+J180</f>
        <v>188.67788428605445</v>
      </c>
      <c r="H89" s="145"/>
      <c r="K89" s="23"/>
      <c r="L89" s="23"/>
    </row>
    <row r="90" spans="1:14" ht="18" customHeight="1" x14ac:dyDescent="0.2">
      <c r="A90" s="44"/>
      <c r="B90" s="65"/>
      <c r="C90" s="66"/>
      <c r="D90" s="46" t="s">
        <v>110</v>
      </c>
      <c r="E90" s="46"/>
      <c r="F90" s="51"/>
      <c r="G90" s="144">
        <f>K140+J181</f>
        <v>97.333596590174182</v>
      </c>
      <c r="H90" s="145"/>
      <c r="K90" s="23"/>
      <c r="L90" s="23"/>
    </row>
    <row r="91" spans="1:14" ht="18" customHeight="1" x14ac:dyDescent="0.2">
      <c r="A91" s="44"/>
      <c r="B91" s="74" t="s">
        <v>106</v>
      </c>
      <c r="C91" s="74"/>
      <c r="D91" s="46" t="s">
        <v>82</v>
      </c>
      <c r="E91" s="46"/>
      <c r="F91" s="49" t="s">
        <v>116</v>
      </c>
      <c r="G91" s="144">
        <f>J207</f>
        <v>10659.205761864527</v>
      </c>
      <c r="H91" s="145"/>
      <c r="K91" s="23"/>
      <c r="L91" s="23"/>
    </row>
    <row r="92" spans="1:14" ht="18" customHeight="1" x14ac:dyDescent="0.2">
      <c r="A92" s="44"/>
      <c r="B92" s="74"/>
      <c r="C92" s="74"/>
      <c r="D92" s="46" t="s">
        <v>83</v>
      </c>
      <c r="E92" s="46"/>
      <c r="F92" s="50"/>
      <c r="G92" s="144">
        <f t="shared" ref="G92:G93" si="2">J208</f>
        <v>10133.804348081936</v>
      </c>
      <c r="H92" s="145"/>
      <c r="K92" s="23"/>
      <c r="L92" s="23"/>
    </row>
    <row r="93" spans="1:14" ht="18" customHeight="1" x14ac:dyDescent="0.2">
      <c r="A93" s="44"/>
      <c r="B93" s="74"/>
      <c r="C93" s="74"/>
      <c r="D93" s="46" t="s">
        <v>110</v>
      </c>
      <c r="E93" s="46"/>
      <c r="F93" s="51"/>
      <c r="G93" s="144">
        <f t="shared" si="2"/>
        <v>-2868.7796662446221</v>
      </c>
      <c r="H93" s="145"/>
      <c r="K93" s="23"/>
      <c r="L93" s="23"/>
    </row>
    <row r="94" spans="1:14" ht="18" customHeight="1" x14ac:dyDescent="0.2">
      <c r="A94" s="44"/>
      <c r="B94" s="76" t="s">
        <v>115</v>
      </c>
      <c r="C94" s="77"/>
      <c r="D94" s="46" t="s">
        <v>82</v>
      </c>
      <c r="E94" s="46"/>
      <c r="F94" s="49" t="s">
        <v>117</v>
      </c>
      <c r="G94" s="144">
        <f>J242</f>
        <v>-329.06476959297891</v>
      </c>
      <c r="H94" s="145"/>
      <c r="K94" s="23"/>
      <c r="L94" s="23"/>
    </row>
    <row r="95" spans="1:14" ht="18" customHeight="1" x14ac:dyDescent="0.2">
      <c r="A95" s="44"/>
      <c r="B95" s="78"/>
      <c r="C95" s="79"/>
      <c r="D95" s="46" t="s">
        <v>83</v>
      </c>
      <c r="E95" s="46"/>
      <c r="F95" s="50"/>
      <c r="G95" s="144">
        <f t="shared" ref="G95:G96" si="3">J243</f>
        <v>-300.6637677311063</v>
      </c>
      <c r="H95" s="145"/>
      <c r="K95" s="23"/>
      <c r="L95" s="23"/>
    </row>
    <row r="96" spans="1:14" ht="18" customHeight="1" x14ac:dyDescent="0.2">
      <c r="A96" s="45"/>
      <c r="B96" s="80"/>
      <c r="C96" s="81"/>
      <c r="D96" s="46" t="s">
        <v>110</v>
      </c>
      <c r="E96" s="46"/>
      <c r="F96" s="51"/>
      <c r="G96" s="144">
        <f t="shared" si="3"/>
        <v>204.07879366589788</v>
      </c>
      <c r="H96" s="145"/>
      <c r="K96" s="23"/>
      <c r="L96" s="23"/>
    </row>
    <row r="97" spans="1:14" ht="18" customHeight="1" x14ac:dyDescent="0.2">
      <c r="A97" s="33"/>
      <c r="B97" s="34"/>
      <c r="C97" s="34"/>
      <c r="D97" s="16"/>
      <c r="E97" s="16"/>
      <c r="F97" s="16"/>
      <c r="G97" s="35"/>
      <c r="H97" s="35"/>
      <c r="K97" s="23"/>
      <c r="L97" s="23"/>
    </row>
    <row r="98" spans="1:14" ht="18" customHeight="1" x14ac:dyDescent="0.2">
      <c r="A98" s="33"/>
      <c r="B98" s="34"/>
      <c r="C98" s="34"/>
      <c r="D98" s="16"/>
      <c r="E98" s="16"/>
      <c r="F98" s="16"/>
      <c r="G98" s="35"/>
      <c r="H98" s="35"/>
      <c r="K98" s="23"/>
      <c r="L98" s="23"/>
    </row>
    <row r="99" spans="1:14" ht="18" customHeight="1" x14ac:dyDescent="0.2">
      <c r="A99" s="33"/>
      <c r="B99" s="34"/>
      <c r="C99" s="34"/>
      <c r="D99" s="16"/>
      <c r="E99" s="16"/>
      <c r="F99" s="16"/>
      <c r="G99" s="35"/>
      <c r="H99" s="35"/>
      <c r="K99" s="23"/>
      <c r="L99" s="23"/>
    </row>
    <row r="100" spans="1:14" ht="18" customHeight="1" x14ac:dyDescent="0.2">
      <c r="A100" s="2" t="s">
        <v>244</v>
      </c>
      <c r="I100" s="3"/>
      <c r="K100" s="23"/>
      <c r="L100" s="23"/>
    </row>
    <row r="101" spans="1:14" ht="18" customHeight="1" x14ac:dyDescent="0.2">
      <c r="K101" s="23"/>
      <c r="L101" s="23"/>
    </row>
    <row r="102" spans="1:14" ht="32.25" customHeight="1" x14ac:dyDescent="0.2">
      <c r="A102" s="7" t="s">
        <v>3</v>
      </c>
      <c r="B102" s="90" t="s">
        <v>2</v>
      </c>
      <c r="C102" s="47"/>
      <c r="D102" s="47"/>
      <c r="E102" s="48"/>
      <c r="F102" s="7" t="s">
        <v>4</v>
      </c>
      <c r="G102" s="90" t="s">
        <v>6</v>
      </c>
      <c r="H102" s="47"/>
      <c r="I102" s="48"/>
      <c r="J102" s="188" t="s">
        <v>255</v>
      </c>
      <c r="K102" s="188" t="s">
        <v>254</v>
      </c>
      <c r="L102" s="134" t="s">
        <v>7</v>
      </c>
      <c r="M102" s="135"/>
    </row>
    <row r="103" spans="1:14" ht="18" customHeight="1" x14ac:dyDescent="0.2">
      <c r="A103" s="158" t="s">
        <v>0</v>
      </c>
      <c r="B103" s="46" t="s">
        <v>42</v>
      </c>
      <c r="C103" s="46" t="s">
        <v>44</v>
      </c>
      <c r="D103" s="46"/>
      <c r="E103" s="18" t="s">
        <v>45</v>
      </c>
      <c r="F103" s="52" t="s">
        <v>150</v>
      </c>
      <c r="G103" s="129" t="s">
        <v>139</v>
      </c>
      <c r="H103" s="130"/>
      <c r="I103" s="131"/>
      <c r="J103" s="27">
        <f>0.0131*(0.5*H3)^0.611*100</f>
        <v>52.870927833209691</v>
      </c>
      <c r="K103" s="30">
        <f>J103*$H$37%*(1+$H$37%)^$H$41/((1+$H$37%)^$H$41-1)*($J$32/92.7)</f>
        <v>5.015559266059082</v>
      </c>
      <c r="L103" s="122" t="s">
        <v>218</v>
      </c>
      <c r="M103" s="123"/>
    </row>
    <row r="104" spans="1:14" ht="18" customHeight="1" x14ac:dyDescent="0.2">
      <c r="A104" s="159"/>
      <c r="B104" s="46"/>
      <c r="C104" s="46"/>
      <c r="D104" s="46"/>
      <c r="E104" s="18" t="s">
        <v>14</v>
      </c>
      <c r="F104" s="50"/>
      <c r="G104" s="129" t="s">
        <v>140</v>
      </c>
      <c r="H104" s="130"/>
      <c r="I104" s="131"/>
      <c r="J104" s="27">
        <f>0.0124*(0.5*H3)^0.598*100</f>
        <v>46.259215706765332</v>
      </c>
      <c r="K104" s="30">
        <f>J104*$H$37%*(1+$H$37%)^$H$42/((1+$H$37%)^$H$42-1)*($J$32/92.7)</f>
        <v>1.8672539624320499</v>
      </c>
      <c r="L104" s="124"/>
      <c r="M104" s="125"/>
    </row>
    <row r="105" spans="1:14" ht="18" customHeight="1" x14ac:dyDescent="0.2">
      <c r="A105" s="159"/>
      <c r="B105" s="46"/>
      <c r="C105" s="46" t="s">
        <v>46</v>
      </c>
      <c r="D105" s="46"/>
      <c r="E105" s="18" t="s">
        <v>45</v>
      </c>
      <c r="F105" s="50"/>
      <c r="G105" s="129" t="s">
        <v>141</v>
      </c>
      <c r="H105" s="130"/>
      <c r="I105" s="131"/>
      <c r="J105" s="27">
        <f>0.438*(0.5*H3)^0.422*100</f>
        <v>563.18909758118093</v>
      </c>
      <c r="K105" s="30">
        <f>J105*$H$37%*(1+$H$37%)^$H$41/((1+$H$37%)^$H$41-1)*($J$32/92.7)</f>
        <v>53.426493777975033</v>
      </c>
      <c r="L105" s="124"/>
      <c r="M105" s="125"/>
    </row>
    <row r="106" spans="1:14" ht="18" customHeight="1" x14ac:dyDescent="0.2">
      <c r="A106" s="159"/>
      <c r="B106" s="46"/>
      <c r="C106" s="46"/>
      <c r="D106" s="46"/>
      <c r="E106" s="18" t="s">
        <v>14</v>
      </c>
      <c r="F106" s="50"/>
      <c r="G106" s="129" t="s">
        <v>142</v>
      </c>
      <c r="H106" s="130"/>
      <c r="I106" s="131"/>
      <c r="J106" s="27">
        <f>0.34*(0.5*H3)^0.259*100</f>
        <v>163.01653206372904</v>
      </c>
      <c r="K106" s="30">
        <f>J106*$H$37%*(1+$H$37%)^$H$42/((1+$H$37%)^$H$42-1)*($J$32/92.7)</f>
        <v>6.5801648555276389</v>
      </c>
      <c r="L106" s="124"/>
      <c r="M106" s="125"/>
    </row>
    <row r="107" spans="1:14" ht="18" customHeight="1" x14ac:dyDescent="0.2">
      <c r="A107" s="159"/>
      <c r="B107" s="46" t="s">
        <v>38</v>
      </c>
      <c r="C107" s="74" t="s">
        <v>50</v>
      </c>
      <c r="D107" s="74"/>
      <c r="E107" s="18" t="s">
        <v>45</v>
      </c>
      <c r="F107" s="50"/>
      <c r="G107" s="129" t="s">
        <v>143</v>
      </c>
      <c r="H107" s="130"/>
      <c r="I107" s="131"/>
      <c r="J107" s="27">
        <f>0.516*H4^0.385*100</f>
        <v>665.05774303031012</v>
      </c>
      <c r="K107" s="30">
        <f>J107*$H$37%*(1+$H$37%)^$H$39/((1+$H$37%)^$H$39-1)*($J$32/92.7)</f>
        <v>63.090183248586868</v>
      </c>
      <c r="L107" s="124"/>
      <c r="M107" s="125"/>
    </row>
    <row r="108" spans="1:14" ht="18" customHeight="1" x14ac:dyDescent="0.2">
      <c r="A108" s="159"/>
      <c r="B108" s="46"/>
      <c r="C108" s="74"/>
      <c r="D108" s="74"/>
      <c r="E108" s="18" t="s">
        <v>14</v>
      </c>
      <c r="F108" s="50"/>
      <c r="G108" s="129" t="s">
        <v>144</v>
      </c>
      <c r="H108" s="130"/>
      <c r="I108" s="131"/>
      <c r="J108" s="27">
        <f>0.169*H4^0.539*100</f>
        <v>605.59212376192795</v>
      </c>
      <c r="K108" s="30">
        <f>J108*$H$37%*(1+$H$37%)^$H$40/((1+$H$37%)^$H$40-1)*($J$32/92.7)</f>
        <v>25.918746427842812</v>
      </c>
      <c r="L108" s="126"/>
      <c r="M108" s="127"/>
    </row>
    <row r="109" spans="1:14" ht="18" customHeight="1" x14ac:dyDescent="0.2">
      <c r="A109" s="159"/>
      <c r="B109" s="46"/>
      <c r="C109" s="46" t="s">
        <v>47</v>
      </c>
      <c r="D109" s="46"/>
      <c r="E109" s="18" t="s">
        <v>45</v>
      </c>
      <c r="F109" s="50"/>
      <c r="G109" s="129" t="s">
        <v>52</v>
      </c>
      <c r="H109" s="130"/>
      <c r="I109" s="131"/>
      <c r="J109" s="27">
        <f>0.878*H7^0.761</f>
        <v>35.138867995554683</v>
      </c>
      <c r="K109" s="30">
        <f>J109*$H$37%*(1+$H$37%)^$H$39/((1+$H$37%)^$H$39-1)*($J$32/98.5)</f>
        <v>3.1371385885807217</v>
      </c>
      <c r="L109" s="122" t="s">
        <v>219</v>
      </c>
      <c r="M109" s="123"/>
    </row>
    <row r="110" spans="1:14" ht="18" customHeight="1" x14ac:dyDescent="0.2">
      <c r="A110" s="159"/>
      <c r="B110" s="46"/>
      <c r="C110" s="46" t="s">
        <v>48</v>
      </c>
      <c r="D110" s="46"/>
      <c r="E110" s="18" t="s">
        <v>45</v>
      </c>
      <c r="F110" s="50"/>
      <c r="G110" s="129" t="s">
        <v>53</v>
      </c>
      <c r="H110" s="130"/>
      <c r="I110" s="131"/>
      <c r="J110" s="27">
        <f>10.4*H8^0.437</f>
        <v>256.29698338320566</v>
      </c>
      <c r="K110" s="30">
        <f>J110*$H$37%*(1+$H$37%)^$H$39/((1+$H$37%)^$H$39-1)*($J$32/98.5)</f>
        <v>22.881760357505062</v>
      </c>
      <c r="L110" s="126"/>
      <c r="M110" s="127"/>
    </row>
    <row r="111" spans="1:14" ht="18" customHeight="1" x14ac:dyDescent="0.2">
      <c r="A111" s="159"/>
      <c r="B111" s="74" t="s">
        <v>147</v>
      </c>
      <c r="C111" s="46"/>
      <c r="D111" s="46"/>
      <c r="E111" s="18" t="s">
        <v>45</v>
      </c>
      <c r="F111" s="50"/>
      <c r="G111" s="129" t="s">
        <v>145</v>
      </c>
      <c r="H111" s="130"/>
      <c r="I111" s="131"/>
      <c r="J111" s="27">
        <f>(0.434*H5^0.373*100)-(0.434*H12^0.373*100)</f>
        <v>91.98067370417391</v>
      </c>
      <c r="K111" s="30">
        <f>J111*$H$37%*(1+$H$37%)^$H$41/((1+$H$37%)^$H$41-1)*($J$32/92.7)</f>
        <v>8.7256747555231939</v>
      </c>
      <c r="L111" s="122" t="s">
        <v>218</v>
      </c>
      <c r="M111" s="123"/>
      <c r="N111" s="29"/>
    </row>
    <row r="112" spans="1:14" ht="18" customHeight="1" x14ac:dyDescent="0.2">
      <c r="A112" s="159"/>
      <c r="B112" s="46"/>
      <c r="C112" s="46"/>
      <c r="D112" s="46"/>
      <c r="E112" s="18" t="s">
        <v>14</v>
      </c>
      <c r="F112" s="50"/>
      <c r="G112" s="129" t="s">
        <v>146</v>
      </c>
      <c r="H112" s="130"/>
      <c r="I112" s="131"/>
      <c r="J112" s="27">
        <f>(0.227*H5^0.444*100)-(0.227*H12^0.444*100)</f>
        <v>90.122034601168423</v>
      </c>
      <c r="K112" s="30">
        <f>J112*$H$37%*(1+$H$37%)^$H$42/((1+$H$37%)^$H$42-1)*($J$32/92.7)</f>
        <v>3.6377773302122645</v>
      </c>
      <c r="L112" s="124"/>
      <c r="M112" s="125"/>
      <c r="N112" s="29"/>
    </row>
    <row r="113" spans="1:14" ht="18" customHeight="1" x14ac:dyDescent="0.2">
      <c r="A113" s="159"/>
      <c r="B113" s="74" t="s">
        <v>148</v>
      </c>
      <c r="C113" s="46"/>
      <c r="D113" s="46"/>
      <c r="E113" s="21" t="s">
        <v>45</v>
      </c>
      <c r="F113" s="50"/>
      <c r="G113" s="129" t="s">
        <v>145</v>
      </c>
      <c r="H113" s="130"/>
      <c r="I113" s="131"/>
      <c r="J113" s="27">
        <f>(0.434*H6^0.373*100)-(0.434*H12^0.373*100)</f>
        <v>-8.4761580229040305</v>
      </c>
      <c r="K113" s="30">
        <f>J113*$H$37%*(1+$H$37%)^$H$41/((1+$H$37%)^$H$41-1)*($J$32/92.7)</f>
        <v>-0.80408410925699614</v>
      </c>
      <c r="L113" s="124"/>
      <c r="M113" s="125"/>
      <c r="N113" s="29"/>
    </row>
    <row r="114" spans="1:14" ht="18" customHeight="1" x14ac:dyDescent="0.2">
      <c r="A114" s="159"/>
      <c r="B114" s="46"/>
      <c r="C114" s="46"/>
      <c r="D114" s="46"/>
      <c r="E114" s="21" t="s">
        <v>14</v>
      </c>
      <c r="F114" s="50"/>
      <c r="G114" s="129" t="s">
        <v>146</v>
      </c>
      <c r="H114" s="130"/>
      <c r="I114" s="131"/>
      <c r="J114" s="27">
        <f>(0.227*H6^0.444*100)-(0.227*H12^0.444*100)</f>
        <v>-8.1303130854726078</v>
      </c>
      <c r="K114" s="30">
        <f>J114*$H$37%*(1+$H$37%)^$H$42/((1+$H$37%)^$H$42-1)*($J$32/92.7)</f>
        <v>-0.32818021431439065</v>
      </c>
      <c r="L114" s="126"/>
      <c r="M114" s="127"/>
    </row>
    <row r="115" spans="1:14" ht="18" customHeight="1" x14ac:dyDescent="0.2">
      <c r="A115" s="159"/>
      <c r="B115" s="46" t="s">
        <v>43</v>
      </c>
      <c r="C115" s="46"/>
      <c r="D115" s="46"/>
      <c r="E115" s="18" t="s">
        <v>13</v>
      </c>
      <c r="F115" s="50"/>
      <c r="G115" s="129" t="s">
        <v>54</v>
      </c>
      <c r="H115" s="130"/>
      <c r="I115" s="131"/>
      <c r="J115" s="27">
        <f>1.3132*H9</f>
        <v>328.29999999999995</v>
      </c>
      <c r="K115" s="30">
        <f>J115*$H$37%*(1+$H$37%)^$H$41/((1+$H$37%)^$H$41-1)*($J$32/107.5)</f>
        <v>26.856201535163571</v>
      </c>
      <c r="L115" s="84" t="s">
        <v>220</v>
      </c>
      <c r="M115" s="85"/>
    </row>
    <row r="116" spans="1:14" ht="18" customHeight="1" x14ac:dyDescent="0.2">
      <c r="A116" s="159"/>
      <c r="B116" s="46"/>
      <c r="C116" s="46"/>
      <c r="D116" s="46"/>
      <c r="E116" s="18" t="s">
        <v>14</v>
      </c>
      <c r="F116" s="51"/>
      <c r="G116" s="129" t="s">
        <v>55</v>
      </c>
      <c r="H116" s="130"/>
      <c r="I116" s="131"/>
      <c r="J116" s="27">
        <f>0.0263*H9+5.8284</f>
        <v>12.403400000000001</v>
      </c>
      <c r="K116" s="30">
        <f>J116*$H$37%*(1+$H$37%)^$H$42/((1+$H$37%)^$H$42-1)*($J$32/107.5)</f>
        <v>0.43173488695160933</v>
      </c>
      <c r="L116" s="88"/>
      <c r="M116" s="89"/>
    </row>
    <row r="117" spans="1:14" ht="18" customHeight="1" x14ac:dyDescent="0.2">
      <c r="A117" s="159"/>
      <c r="B117" s="46" t="s">
        <v>18</v>
      </c>
      <c r="C117" s="46" t="s">
        <v>111</v>
      </c>
      <c r="D117" s="46" t="s">
        <v>79</v>
      </c>
      <c r="E117" s="46"/>
      <c r="F117" s="46" t="s">
        <v>51</v>
      </c>
      <c r="G117" s="90" t="s">
        <v>29</v>
      </c>
      <c r="H117" s="47"/>
      <c r="I117" s="48"/>
      <c r="J117" s="31">
        <f>SUM(J103:J106)+J111+J112</f>
        <v>1007.4384814902273</v>
      </c>
      <c r="K117" s="4" t="s">
        <v>151</v>
      </c>
      <c r="L117" s="173"/>
      <c r="M117" s="174"/>
    </row>
    <row r="118" spans="1:14" ht="18" customHeight="1" x14ac:dyDescent="0.2">
      <c r="A118" s="159"/>
      <c r="B118" s="46"/>
      <c r="C118" s="46"/>
      <c r="D118" s="46" t="s">
        <v>80</v>
      </c>
      <c r="E118" s="46"/>
      <c r="F118" s="46"/>
      <c r="G118" s="90" t="s">
        <v>29</v>
      </c>
      <c r="H118" s="47"/>
      <c r="I118" s="48"/>
      <c r="J118" s="31">
        <f>SUM(J103:J108)+J113+J114</f>
        <v>2079.3791688687465</v>
      </c>
      <c r="K118" s="4" t="s">
        <v>151</v>
      </c>
      <c r="L118" s="173"/>
      <c r="M118" s="174"/>
    </row>
    <row r="119" spans="1:14" ht="18" customHeight="1" x14ac:dyDescent="0.2">
      <c r="A119" s="159"/>
      <c r="B119" s="46"/>
      <c r="C119" s="46"/>
      <c r="D119" s="46" t="s">
        <v>243</v>
      </c>
      <c r="E119" s="46"/>
      <c r="F119" s="46"/>
      <c r="G119" s="90" t="s">
        <v>29</v>
      </c>
      <c r="H119" s="47"/>
      <c r="I119" s="48"/>
      <c r="J119" s="31">
        <f>SUM(J103:J108)+SUM(J113:J116)</f>
        <v>2420.0825688687464</v>
      </c>
      <c r="K119" s="4" t="s">
        <v>151</v>
      </c>
      <c r="L119" s="173"/>
      <c r="M119" s="174"/>
    </row>
    <row r="120" spans="1:14" ht="18" customHeight="1" x14ac:dyDescent="0.2">
      <c r="A120" s="159"/>
      <c r="B120" s="46"/>
      <c r="C120" s="46"/>
      <c r="D120" s="46" t="s">
        <v>81</v>
      </c>
      <c r="E120" s="46"/>
      <c r="F120" s="46"/>
      <c r="G120" s="90" t="s">
        <v>29</v>
      </c>
      <c r="H120" s="47"/>
      <c r="I120" s="48"/>
      <c r="J120" s="31">
        <f>SUM(J103:J108)-SUM(J109:J110)</f>
        <v>1804.549788598363</v>
      </c>
      <c r="K120" s="4" t="s">
        <v>151</v>
      </c>
      <c r="L120" s="173"/>
      <c r="M120" s="174"/>
    </row>
    <row r="121" spans="1:14" ht="18" customHeight="1" x14ac:dyDescent="0.2">
      <c r="A121" s="159"/>
      <c r="B121" s="46"/>
      <c r="C121" s="46" t="s">
        <v>56</v>
      </c>
      <c r="D121" s="46" t="s">
        <v>79</v>
      </c>
      <c r="E121" s="46"/>
      <c r="F121" s="63" t="s">
        <v>5</v>
      </c>
      <c r="G121" s="90" t="s">
        <v>29</v>
      </c>
      <c r="H121" s="47"/>
      <c r="I121" s="48"/>
      <c r="J121" s="4" t="s">
        <v>151</v>
      </c>
      <c r="K121" s="31">
        <f>SUM(K103:K106)+K111+K112</f>
        <v>79.252923947729244</v>
      </c>
      <c r="L121" s="173"/>
      <c r="M121" s="174"/>
    </row>
    <row r="122" spans="1:14" ht="18" customHeight="1" x14ac:dyDescent="0.2">
      <c r="A122" s="159"/>
      <c r="B122" s="46"/>
      <c r="C122" s="46"/>
      <c r="D122" s="46" t="s">
        <v>80</v>
      </c>
      <c r="E122" s="46"/>
      <c r="F122" s="132"/>
      <c r="G122" s="90" t="s">
        <v>29</v>
      </c>
      <c r="H122" s="47"/>
      <c r="I122" s="48"/>
      <c r="J122" s="4" t="s">
        <v>151</v>
      </c>
      <c r="K122" s="31">
        <f>SUM(K103:K108)+K113+K114</f>
        <v>154.76613721485211</v>
      </c>
      <c r="L122" s="173"/>
      <c r="M122" s="174"/>
    </row>
    <row r="123" spans="1:14" ht="18" customHeight="1" x14ac:dyDescent="0.2">
      <c r="A123" s="159"/>
      <c r="B123" s="46"/>
      <c r="C123" s="46"/>
      <c r="D123" s="46" t="s">
        <v>243</v>
      </c>
      <c r="E123" s="46"/>
      <c r="F123" s="132"/>
      <c r="G123" s="90" t="s">
        <v>29</v>
      </c>
      <c r="H123" s="47"/>
      <c r="I123" s="48"/>
      <c r="J123" s="4" t="s">
        <v>151</v>
      </c>
      <c r="K123" s="31">
        <f>SUM(K103:K108)+SUM(K113:K116)</f>
        <v>182.05407363696727</v>
      </c>
      <c r="L123" s="173"/>
      <c r="M123" s="174"/>
    </row>
    <row r="124" spans="1:14" ht="18" customHeight="1" x14ac:dyDescent="0.2">
      <c r="A124" s="160"/>
      <c r="B124" s="46"/>
      <c r="C124" s="46"/>
      <c r="D124" s="46" t="s">
        <v>81</v>
      </c>
      <c r="E124" s="46"/>
      <c r="F124" s="65"/>
      <c r="G124" s="90" t="s">
        <v>29</v>
      </c>
      <c r="H124" s="47"/>
      <c r="I124" s="48"/>
      <c r="J124" s="4" t="s">
        <v>151</v>
      </c>
      <c r="K124" s="31">
        <f>SUM(K103:K108)-SUM(K109:K110)</f>
        <v>129.8795025923377</v>
      </c>
      <c r="L124" s="173"/>
      <c r="M124" s="174"/>
    </row>
    <row r="125" spans="1:14" ht="18" customHeight="1" x14ac:dyDescent="0.2">
      <c r="A125" s="166" t="s">
        <v>1</v>
      </c>
      <c r="B125" s="76" t="s">
        <v>15</v>
      </c>
      <c r="C125" s="64"/>
      <c r="D125" s="134" t="s">
        <v>9</v>
      </c>
      <c r="E125" s="135"/>
      <c r="F125" s="76" t="s">
        <v>150</v>
      </c>
      <c r="G125" s="129" t="s">
        <v>19</v>
      </c>
      <c r="H125" s="130"/>
      <c r="I125" s="131"/>
      <c r="J125" s="10">
        <f>63.2*H10^0.677</f>
        <v>269.11238860153338</v>
      </c>
      <c r="K125" s="30">
        <f>J125*$H$37%*(1+$H$37%)^$H$38/((1+$H$37%)^$H$38-1)</f>
        <v>16.938340365323224</v>
      </c>
      <c r="L125" s="173"/>
      <c r="M125" s="174"/>
    </row>
    <row r="126" spans="1:14" ht="18" customHeight="1" x14ac:dyDescent="0.2">
      <c r="A126" s="166"/>
      <c r="B126" s="132"/>
      <c r="C126" s="133"/>
      <c r="D126" s="134" t="s">
        <v>10</v>
      </c>
      <c r="E126" s="135"/>
      <c r="F126" s="132"/>
      <c r="G126" s="129" t="s">
        <v>20</v>
      </c>
      <c r="H126" s="130"/>
      <c r="I126" s="131"/>
      <c r="J126" s="10">
        <f>195.8*H10^0.531</f>
        <v>610.00604253472738</v>
      </c>
      <c r="K126" s="30">
        <f>J126*$H$37%*(1+$H$37%)^$H$39/((1+$H$37%)^$H$39-1)</f>
        <v>48.546064415696158</v>
      </c>
      <c r="L126" s="173"/>
      <c r="M126" s="174"/>
    </row>
    <row r="127" spans="1:14" ht="18" customHeight="1" x14ac:dyDescent="0.2">
      <c r="A127" s="166"/>
      <c r="B127" s="132"/>
      <c r="C127" s="133"/>
      <c r="D127" s="134" t="s">
        <v>11</v>
      </c>
      <c r="E127" s="135"/>
      <c r="F127" s="132"/>
      <c r="G127" s="129" t="s">
        <v>21</v>
      </c>
      <c r="H127" s="130"/>
      <c r="I127" s="131"/>
      <c r="J127" s="10">
        <f>19.6*H10^0.586</f>
        <v>68.690323518263043</v>
      </c>
      <c r="K127" s="30">
        <f>J127*$H$37%*(1+$H$37%)^$H$40/((1+$H$37%)^$H$40-1)</f>
        <v>2.4663050525780656</v>
      </c>
      <c r="L127" s="173"/>
      <c r="M127" s="174"/>
    </row>
    <row r="128" spans="1:14" ht="18" customHeight="1" x14ac:dyDescent="0.2">
      <c r="A128" s="166"/>
      <c r="B128" s="65"/>
      <c r="C128" s="66"/>
      <c r="D128" s="134" t="s">
        <v>12</v>
      </c>
      <c r="E128" s="135"/>
      <c r="F128" s="132"/>
      <c r="G128" s="129" t="s">
        <v>22</v>
      </c>
      <c r="H128" s="130"/>
      <c r="I128" s="131"/>
      <c r="J128" s="10">
        <f>28.2*H10^0.569</f>
        <v>95.299029309000062</v>
      </c>
      <c r="K128" s="30">
        <f>J128*$H$37%*(1+$H$37%)^$H$42/((1+$H$37%)^$H$42-1)</f>
        <v>3.2270898512733139</v>
      </c>
      <c r="L128" s="173"/>
      <c r="M128" s="174"/>
    </row>
    <row r="129" spans="1:13" ht="18" customHeight="1" x14ac:dyDescent="0.2">
      <c r="A129" s="166"/>
      <c r="B129" s="76" t="s">
        <v>16</v>
      </c>
      <c r="C129" s="64"/>
      <c r="D129" s="134" t="s">
        <v>13</v>
      </c>
      <c r="E129" s="135"/>
      <c r="F129" s="132"/>
      <c r="G129" s="129" t="s">
        <v>23</v>
      </c>
      <c r="H129" s="130"/>
      <c r="I129" s="131"/>
      <c r="J129" s="10">
        <f>39.6*H11^0.255</f>
        <v>310.84352776016658</v>
      </c>
      <c r="K129" s="30">
        <f>J129*$H$37%*(1+$H$37%)^$H$41/((1+$H$37%)^$H$41-1)</f>
        <v>24.737836791162938</v>
      </c>
      <c r="L129" s="173"/>
      <c r="M129" s="174"/>
    </row>
    <row r="130" spans="1:13" ht="18" customHeight="1" x14ac:dyDescent="0.2">
      <c r="A130" s="166"/>
      <c r="B130" s="65"/>
      <c r="C130" s="66"/>
      <c r="D130" s="134" t="s">
        <v>14</v>
      </c>
      <c r="E130" s="135"/>
      <c r="F130" s="132"/>
      <c r="G130" s="129" t="s">
        <v>24</v>
      </c>
      <c r="H130" s="130"/>
      <c r="I130" s="131"/>
      <c r="J130" s="10">
        <f>4.3*H11^0.265</f>
        <v>36.593767462503315</v>
      </c>
      <c r="K130" s="30">
        <f>J130*$H$37%*(1+$H$37%)^$H$42/((1+$H$37%)^$H$42-1)</f>
        <v>1.2391666153828023</v>
      </c>
      <c r="L130" s="173"/>
      <c r="M130" s="174"/>
    </row>
    <row r="131" spans="1:13" ht="18" customHeight="1" x14ac:dyDescent="0.2">
      <c r="A131" s="166"/>
      <c r="B131" s="76" t="s">
        <v>17</v>
      </c>
      <c r="C131" s="64"/>
      <c r="D131" s="134" t="s">
        <v>13</v>
      </c>
      <c r="E131" s="135"/>
      <c r="F131" s="132"/>
      <c r="G131" s="129" t="s">
        <v>25</v>
      </c>
      <c r="H131" s="130"/>
      <c r="I131" s="131"/>
      <c r="J131" s="10">
        <f>271.8</f>
        <v>271.8</v>
      </c>
      <c r="K131" s="30">
        <f>J131*$H$37%*(1+$H$37%)^$H$41/((1+$H$37%)^$H$41-1)</f>
        <v>21.630638695574955</v>
      </c>
      <c r="L131" s="173"/>
      <c r="M131" s="174"/>
    </row>
    <row r="132" spans="1:13" ht="18" customHeight="1" x14ac:dyDescent="0.2">
      <c r="A132" s="166"/>
      <c r="B132" s="65"/>
      <c r="C132" s="66"/>
      <c r="D132" s="134" t="s">
        <v>14</v>
      </c>
      <c r="E132" s="135"/>
      <c r="F132" s="132"/>
      <c r="G132" s="129" t="s">
        <v>26</v>
      </c>
      <c r="H132" s="130"/>
      <c r="I132" s="131"/>
      <c r="J132" s="10">
        <f>13.7</f>
        <v>13.7</v>
      </c>
      <c r="K132" s="30">
        <f>J132*$H$37%*(1+$H$37%)^$H$42/((1+$H$37%)^$H$42-1)</f>
        <v>0.4639200554613529</v>
      </c>
      <c r="L132" s="173"/>
      <c r="M132" s="174"/>
    </row>
    <row r="133" spans="1:13" ht="18" customHeight="1" x14ac:dyDescent="0.2">
      <c r="A133" s="166"/>
      <c r="B133" s="63" t="s">
        <v>8</v>
      </c>
      <c r="C133" s="64"/>
      <c r="D133" s="134" t="s">
        <v>13</v>
      </c>
      <c r="E133" s="135"/>
      <c r="F133" s="132"/>
      <c r="G133" s="129" t="s">
        <v>27</v>
      </c>
      <c r="H133" s="130"/>
      <c r="I133" s="131"/>
      <c r="J133" s="10">
        <f>3.6*H11^0.505</f>
        <v>213.03441824314962</v>
      </c>
      <c r="K133" s="30">
        <f>J133*$H$37%*(1+$H$37%)^$H$41/((1+$H$37%)^$H$41-1)</f>
        <v>16.953901879100702</v>
      </c>
      <c r="L133" s="173"/>
      <c r="M133" s="174"/>
    </row>
    <row r="134" spans="1:13" ht="18" customHeight="1" x14ac:dyDescent="0.2">
      <c r="A134" s="166"/>
      <c r="B134" s="65"/>
      <c r="C134" s="66"/>
      <c r="D134" s="134" t="s">
        <v>14</v>
      </c>
      <c r="E134" s="135"/>
      <c r="F134" s="132"/>
      <c r="G134" s="129" t="s">
        <v>28</v>
      </c>
      <c r="H134" s="130"/>
      <c r="I134" s="131"/>
      <c r="J134" s="10">
        <f>0.219*H11^0.596</f>
        <v>27.035152155180313</v>
      </c>
      <c r="K134" s="30">
        <f>J134*$H$37%*(1+$H$37%)^$H$42/((1+$H$37%)^$H$42-1)</f>
        <v>0.91548534943338444</v>
      </c>
      <c r="L134" s="173"/>
      <c r="M134" s="174"/>
    </row>
    <row r="135" spans="1:13" ht="18" customHeight="1" x14ac:dyDescent="0.2">
      <c r="A135" s="166"/>
      <c r="B135" s="46" t="s">
        <v>18</v>
      </c>
      <c r="C135" s="46" t="s">
        <v>111</v>
      </c>
      <c r="D135" s="46" t="s">
        <v>82</v>
      </c>
      <c r="E135" s="46"/>
      <c r="F135" s="46" t="s">
        <v>51</v>
      </c>
      <c r="G135" s="90" t="s">
        <v>29</v>
      </c>
      <c r="H135" s="47"/>
      <c r="I135" s="48"/>
      <c r="J135" s="10">
        <f>SUM(J125:J130)+J133+J134</f>
        <v>1630.6146495845239</v>
      </c>
      <c r="K135" s="4" t="s">
        <v>151</v>
      </c>
      <c r="L135" s="173"/>
      <c r="M135" s="174"/>
    </row>
    <row r="136" spans="1:13" ht="18" customHeight="1" x14ac:dyDescent="0.2">
      <c r="A136" s="166"/>
      <c r="B136" s="46"/>
      <c r="C136" s="46"/>
      <c r="D136" s="46" t="s">
        <v>83</v>
      </c>
      <c r="E136" s="46"/>
      <c r="F136" s="46"/>
      <c r="G136" s="90" t="s">
        <v>29</v>
      </c>
      <c r="H136" s="47"/>
      <c r="I136" s="48"/>
      <c r="J136" s="10">
        <f>SUM(J125:J134)</f>
        <v>1916.1146495845239</v>
      </c>
      <c r="K136" s="4" t="s">
        <v>151</v>
      </c>
      <c r="L136" s="173"/>
      <c r="M136" s="174"/>
    </row>
    <row r="137" spans="1:13" ht="18" customHeight="1" x14ac:dyDescent="0.2">
      <c r="A137" s="166"/>
      <c r="B137" s="46"/>
      <c r="C137" s="46"/>
      <c r="D137" s="46" t="s">
        <v>110</v>
      </c>
      <c r="E137" s="46"/>
      <c r="F137" s="46"/>
      <c r="G137" s="90" t="s">
        <v>29</v>
      </c>
      <c r="H137" s="47"/>
      <c r="I137" s="48"/>
      <c r="J137" s="10">
        <f>SUM(J125:J128)</f>
        <v>1043.1077839635241</v>
      </c>
      <c r="K137" s="4" t="s">
        <v>151</v>
      </c>
      <c r="L137" s="173"/>
      <c r="M137" s="174"/>
    </row>
    <row r="138" spans="1:13" ht="18" customHeight="1" x14ac:dyDescent="0.2">
      <c r="A138" s="166"/>
      <c r="B138" s="46"/>
      <c r="C138" s="46" t="s">
        <v>56</v>
      </c>
      <c r="D138" s="46" t="s">
        <v>82</v>
      </c>
      <c r="E138" s="46"/>
      <c r="F138" s="63" t="s">
        <v>5</v>
      </c>
      <c r="G138" s="90" t="s">
        <v>29</v>
      </c>
      <c r="H138" s="47"/>
      <c r="I138" s="48"/>
      <c r="J138" s="4" t="s">
        <v>151</v>
      </c>
      <c r="K138" s="10">
        <f>SUM(K125:K130)+K133+K134</f>
        <v>115.02419031995058</v>
      </c>
      <c r="L138" s="173"/>
      <c r="M138" s="174"/>
    </row>
    <row r="139" spans="1:13" ht="18" customHeight="1" x14ac:dyDescent="0.2">
      <c r="A139" s="166"/>
      <c r="B139" s="46"/>
      <c r="C139" s="46"/>
      <c r="D139" s="46" t="s">
        <v>83</v>
      </c>
      <c r="E139" s="46"/>
      <c r="F139" s="132"/>
      <c r="G139" s="90" t="s">
        <v>29</v>
      </c>
      <c r="H139" s="47"/>
      <c r="I139" s="48"/>
      <c r="J139" s="4" t="s">
        <v>151</v>
      </c>
      <c r="K139" s="10">
        <f>SUM(K125:K134)</f>
        <v>137.11874907098692</v>
      </c>
      <c r="L139" s="173"/>
      <c r="M139" s="174"/>
    </row>
    <row r="140" spans="1:13" ht="18" customHeight="1" x14ac:dyDescent="0.2">
      <c r="A140" s="166"/>
      <c r="B140" s="46"/>
      <c r="C140" s="46"/>
      <c r="D140" s="46" t="s">
        <v>110</v>
      </c>
      <c r="E140" s="46"/>
      <c r="F140" s="65"/>
      <c r="G140" s="90" t="s">
        <v>29</v>
      </c>
      <c r="H140" s="47"/>
      <c r="I140" s="48"/>
      <c r="J140" s="4" t="s">
        <v>151</v>
      </c>
      <c r="K140" s="10">
        <f>SUM(K125:K128)</f>
        <v>71.177799684870763</v>
      </c>
      <c r="L140" s="173"/>
      <c r="M140" s="174"/>
    </row>
    <row r="141" spans="1:13" ht="18" customHeight="1" x14ac:dyDescent="0.2">
      <c r="A141" s="16"/>
      <c r="B141" s="16"/>
      <c r="C141" s="16"/>
      <c r="D141" s="16"/>
      <c r="E141" s="16"/>
      <c r="F141" s="16"/>
      <c r="G141" s="16"/>
      <c r="H141" s="16"/>
      <c r="I141" s="16"/>
      <c r="J141" s="17"/>
      <c r="K141" s="24"/>
      <c r="L141" s="23"/>
    </row>
    <row r="142" spans="1:13" ht="18" customHeight="1" x14ac:dyDescent="0.2">
      <c r="A142" s="16"/>
      <c r="B142" s="16"/>
      <c r="C142" s="16"/>
      <c r="D142" s="16"/>
      <c r="E142" s="16"/>
      <c r="F142" s="16"/>
      <c r="G142" s="16"/>
      <c r="H142" s="16"/>
      <c r="I142" s="16"/>
      <c r="J142" s="17"/>
      <c r="K142" s="24"/>
      <c r="L142" s="23"/>
    </row>
    <row r="143" spans="1:13" ht="18" customHeight="1" x14ac:dyDescent="0.2">
      <c r="A143" s="2" t="s">
        <v>245</v>
      </c>
      <c r="K143" s="23"/>
      <c r="L143" s="23"/>
    </row>
    <row r="144" spans="1:13" ht="18" customHeight="1" x14ac:dyDescent="0.2">
      <c r="K144" s="23"/>
      <c r="L144" s="23"/>
    </row>
    <row r="145" spans="1:12" ht="18" customHeight="1" x14ac:dyDescent="0.2">
      <c r="A145" s="7" t="s">
        <v>3</v>
      </c>
      <c r="B145" s="90" t="s">
        <v>2</v>
      </c>
      <c r="C145" s="47"/>
      <c r="D145" s="47"/>
      <c r="E145" s="48"/>
      <c r="F145" s="7" t="s">
        <v>4</v>
      </c>
      <c r="G145" s="90" t="s">
        <v>6</v>
      </c>
      <c r="H145" s="47"/>
      <c r="I145" s="48"/>
      <c r="J145" s="40" t="s">
        <v>256</v>
      </c>
      <c r="K145" s="73" t="s">
        <v>7</v>
      </c>
      <c r="L145" s="73"/>
    </row>
    <row r="146" spans="1:12" ht="18" customHeight="1" x14ac:dyDescent="0.2">
      <c r="A146" s="166" t="s">
        <v>0</v>
      </c>
      <c r="B146" s="46" t="s">
        <v>42</v>
      </c>
      <c r="C146" s="46" t="s">
        <v>44</v>
      </c>
      <c r="D146" s="46"/>
      <c r="E146" s="46"/>
      <c r="F146" s="63" t="s">
        <v>5</v>
      </c>
      <c r="G146" s="128" t="s">
        <v>72</v>
      </c>
      <c r="H146" s="128"/>
      <c r="I146" s="128"/>
      <c r="J146" s="27">
        <f>0.03*(0.5*H3)^0.628</f>
        <v>1.3419906895249105</v>
      </c>
      <c r="K146" s="84" t="s">
        <v>221</v>
      </c>
      <c r="L146" s="85"/>
    </row>
    <row r="147" spans="1:12" ht="18" customHeight="1" x14ac:dyDescent="0.2">
      <c r="A147" s="166"/>
      <c r="B147" s="46"/>
      <c r="C147" s="46" t="s">
        <v>46</v>
      </c>
      <c r="D147" s="46"/>
      <c r="E147" s="46"/>
      <c r="F147" s="132"/>
      <c r="G147" s="128" t="s">
        <v>73</v>
      </c>
      <c r="H147" s="128"/>
      <c r="I147" s="128"/>
      <c r="J147" s="27">
        <f>0.661*(0.5*H3)^0.573</f>
        <v>21.196703083674219</v>
      </c>
      <c r="K147" s="86"/>
      <c r="L147" s="87"/>
    </row>
    <row r="148" spans="1:12" ht="18" customHeight="1" x14ac:dyDescent="0.2">
      <c r="A148" s="166"/>
      <c r="B148" s="46" t="s">
        <v>38</v>
      </c>
      <c r="C148" s="74" t="s">
        <v>49</v>
      </c>
      <c r="D148" s="74"/>
      <c r="E148" s="74"/>
      <c r="F148" s="132"/>
      <c r="G148" s="128" t="s">
        <v>74</v>
      </c>
      <c r="H148" s="128"/>
      <c r="I148" s="128"/>
      <c r="J148" s="27">
        <f>0.171*(H4*365*0.8)^0.39</f>
        <v>20.850831667890031</v>
      </c>
      <c r="K148" s="88"/>
      <c r="L148" s="89"/>
    </row>
    <row r="149" spans="1:12" ht="18" customHeight="1" x14ac:dyDescent="0.2">
      <c r="A149" s="166"/>
      <c r="B149" s="46"/>
      <c r="C149" s="46" t="s">
        <v>47</v>
      </c>
      <c r="D149" s="46"/>
      <c r="E149" s="46"/>
      <c r="F149" s="132"/>
      <c r="G149" s="128" t="s">
        <v>75</v>
      </c>
      <c r="H149" s="128"/>
      <c r="I149" s="128"/>
      <c r="J149" s="27">
        <f>0.0796*H7^0.761</f>
        <v>3.1857105836516548</v>
      </c>
      <c r="K149" s="84" t="s">
        <v>219</v>
      </c>
      <c r="L149" s="85"/>
    </row>
    <row r="150" spans="1:12" ht="18" customHeight="1" x14ac:dyDescent="0.2">
      <c r="A150" s="166"/>
      <c r="B150" s="46"/>
      <c r="C150" s="46" t="s">
        <v>48</v>
      </c>
      <c r="D150" s="46"/>
      <c r="E150" s="46"/>
      <c r="F150" s="132"/>
      <c r="G150" s="128" t="s">
        <v>76</v>
      </c>
      <c r="H150" s="128"/>
      <c r="I150" s="128"/>
      <c r="J150" s="27">
        <f>0.283*H8^0.302</f>
        <v>2.5915718123882274</v>
      </c>
      <c r="K150" s="88"/>
      <c r="L150" s="89"/>
    </row>
    <row r="151" spans="1:12" ht="18" customHeight="1" x14ac:dyDescent="0.2">
      <c r="A151" s="166"/>
      <c r="B151" s="46" t="s">
        <v>153</v>
      </c>
      <c r="C151" s="46"/>
      <c r="D151" s="46"/>
      <c r="E151" s="46"/>
      <c r="F151" s="132"/>
      <c r="G151" s="128" t="s">
        <v>77</v>
      </c>
      <c r="H151" s="128"/>
      <c r="I151" s="128"/>
      <c r="J151" s="27">
        <f>(0.039*(H5*365*0.8)^0.596)-(0.039*(H12*365*0.8)^0.596)</f>
        <v>16.17537255118534</v>
      </c>
      <c r="K151" s="84" t="s">
        <v>222</v>
      </c>
      <c r="L151" s="85"/>
    </row>
    <row r="152" spans="1:12" ht="18" customHeight="1" x14ac:dyDescent="0.2">
      <c r="A152" s="166"/>
      <c r="B152" s="46" t="s">
        <v>154</v>
      </c>
      <c r="C152" s="46"/>
      <c r="D152" s="46"/>
      <c r="E152" s="46"/>
      <c r="F152" s="132"/>
      <c r="G152" s="128" t="s">
        <v>77</v>
      </c>
      <c r="H152" s="128"/>
      <c r="I152" s="128"/>
      <c r="J152" s="27">
        <f>(0.039*(H6*365*0.8)^0.596)-(0.039*(H12*365*0.8)^0.596)</f>
        <v>-1.3938355350052589</v>
      </c>
      <c r="K152" s="88"/>
      <c r="L152" s="89"/>
    </row>
    <row r="153" spans="1:12" ht="18" customHeight="1" x14ac:dyDescent="0.2">
      <c r="A153" s="166"/>
      <c r="B153" s="74" t="s">
        <v>155</v>
      </c>
      <c r="C153" s="46"/>
      <c r="D153" s="46"/>
      <c r="E153" s="46"/>
      <c r="F153" s="132"/>
      <c r="G153" s="111" t="s">
        <v>239</v>
      </c>
      <c r="H153" s="112"/>
      <c r="I153" s="113"/>
      <c r="J153" s="121">
        <f>(1/(100-79)*(H5*0.9*365*0.8)*$H$20/10^6)-1/(100-80)*(H12*0.9*365*0.8+H12*365*0.8*0.25*0.11*107/56)*$H$20/10^6</f>
        <v>72.261519746428547</v>
      </c>
      <c r="K153" s="84" t="s">
        <v>261</v>
      </c>
      <c r="L153" s="85"/>
    </row>
    <row r="154" spans="1:12" ht="18" customHeight="1" x14ac:dyDescent="0.2">
      <c r="A154" s="166"/>
      <c r="B154" s="46"/>
      <c r="C154" s="46"/>
      <c r="D154" s="46"/>
      <c r="E154" s="46"/>
      <c r="F154" s="132"/>
      <c r="G154" s="114"/>
      <c r="H154" s="115"/>
      <c r="I154" s="116"/>
      <c r="J154" s="121"/>
      <c r="K154" s="86"/>
      <c r="L154" s="87"/>
    </row>
    <row r="155" spans="1:12" ht="18" customHeight="1" x14ac:dyDescent="0.2">
      <c r="A155" s="166"/>
      <c r="B155" s="74" t="s">
        <v>156</v>
      </c>
      <c r="C155" s="46"/>
      <c r="D155" s="46"/>
      <c r="E155" s="46"/>
      <c r="F155" s="132"/>
      <c r="G155" s="114"/>
      <c r="H155" s="115"/>
      <c r="I155" s="116"/>
      <c r="J155" s="121">
        <f>(1/(100-82)*(H6*0.9*365*0.8)*$H$20/10^6)-1/(100-80)*(H12*0.9*365*0.8+H12*365*0.8*0.25*0.11*107/56)*$H$20/10^6</f>
        <v>-0.75182882500001824</v>
      </c>
      <c r="K155" s="86"/>
      <c r="L155" s="87"/>
    </row>
    <row r="156" spans="1:12" ht="18" customHeight="1" x14ac:dyDescent="0.2">
      <c r="A156" s="166"/>
      <c r="B156" s="46"/>
      <c r="C156" s="46"/>
      <c r="D156" s="46"/>
      <c r="E156" s="46"/>
      <c r="F156" s="132"/>
      <c r="G156" s="117"/>
      <c r="H156" s="118"/>
      <c r="I156" s="119"/>
      <c r="J156" s="121"/>
      <c r="K156" s="88"/>
      <c r="L156" s="89"/>
    </row>
    <row r="157" spans="1:12" ht="18" customHeight="1" x14ac:dyDescent="0.2">
      <c r="A157" s="166"/>
      <c r="B157" s="46" t="s">
        <v>43</v>
      </c>
      <c r="C157" s="46"/>
      <c r="D157" s="46"/>
      <c r="E157" s="46"/>
      <c r="F157" s="132"/>
      <c r="G157" s="128" t="s">
        <v>78</v>
      </c>
      <c r="H157" s="128"/>
      <c r="I157" s="128"/>
      <c r="J157" s="27">
        <f>0.0579*H9</f>
        <v>14.475</v>
      </c>
      <c r="K157" s="120" t="s">
        <v>220</v>
      </c>
      <c r="L157" s="120"/>
    </row>
    <row r="158" spans="1:12" ht="18" customHeight="1" x14ac:dyDescent="0.2">
      <c r="A158" s="166"/>
      <c r="B158" s="63" t="s">
        <v>157</v>
      </c>
      <c r="C158" s="105"/>
      <c r="D158" s="105"/>
      <c r="E158" s="64"/>
      <c r="F158" s="132"/>
      <c r="G158" s="167" t="s">
        <v>241</v>
      </c>
      <c r="H158" s="168"/>
      <c r="I158" s="169"/>
      <c r="J158" s="82">
        <f>H4*0.01*0.8*0.8*500*21.5*0.32*0.9*1000/3600*355*16.5/10^6</f>
        <v>24.663355199999998</v>
      </c>
      <c r="K158" s="183"/>
      <c r="L158" s="184"/>
    </row>
    <row r="159" spans="1:12" ht="18" customHeight="1" x14ac:dyDescent="0.2">
      <c r="A159" s="166"/>
      <c r="B159" s="65"/>
      <c r="C159" s="106"/>
      <c r="D159" s="106"/>
      <c r="E159" s="66"/>
      <c r="F159" s="132"/>
      <c r="G159" s="170"/>
      <c r="H159" s="171"/>
      <c r="I159" s="172"/>
      <c r="J159" s="83"/>
      <c r="K159" s="185"/>
      <c r="L159" s="186"/>
    </row>
    <row r="160" spans="1:12" ht="18" customHeight="1" x14ac:dyDescent="0.2">
      <c r="A160" s="166"/>
      <c r="B160" s="46" t="s">
        <v>18</v>
      </c>
      <c r="C160" s="46"/>
      <c r="D160" s="46" t="s">
        <v>79</v>
      </c>
      <c r="E160" s="46"/>
      <c r="F160" s="132"/>
      <c r="G160" s="46" t="s">
        <v>29</v>
      </c>
      <c r="H160" s="46"/>
      <c r="I160" s="46"/>
      <c r="J160" s="28">
        <f>J146+J147+J151+J153</f>
        <v>110.97558607081302</v>
      </c>
      <c r="K160" s="120"/>
      <c r="L160" s="120"/>
    </row>
    <row r="161" spans="1:12" ht="18" customHeight="1" x14ac:dyDescent="0.2">
      <c r="A161" s="166"/>
      <c r="B161" s="46"/>
      <c r="C161" s="46"/>
      <c r="D161" s="46" t="s">
        <v>80</v>
      </c>
      <c r="E161" s="46"/>
      <c r="F161" s="132"/>
      <c r="G161" s="46" t="s">
        <v>29</v>
      </c>
      <c r="H161" s="46"/>
      <c r="I161" s="46"/>
      <c r="J161" s="28">
        <f>J146+J147+J148+J152+J155</f>
        <v>41.243861081083885</v>
      </c>
      <c r="K161" s="120"/>
      <c r="L161" s="120"/>
    </row>
    <row r="162" spans="1:12" ht="18" customHeight="1" x14ac:dyDescent="0.2">
      <c r="A162" s="166"/>
      <c r="B162" s="46"/>
      <c r="C162" s="46"/>
      <c r="D162" s="46" t="s">
        <v>243</v>
      </c>
      <c r="E162" s="46"/>
      <c r="F162" s="132"/>
      <c r="G162" s="46" t="s">
        <v>29</v>
      </c>
      <c r="H162" s="46"/>
      <c r="I162" s="46"/>
      <c r="J162" s="28">
        <f>J146+J147+J148+J152+J155+J157-J158</f>
        <v>31.055505881083889</v>
      </c>
      <c r="K162" s="120"/>
      <c r="L162" s="120"/>
    </row>
    <row r="163" spans="1:12" ht="18" customHeight="1" x14ac:dyDescent="0.2">
      <c r="A163" s="166"/>
      <c r="B163" s="46"/>
      <c r="C163" s="46"/>
      <c r="D163" s="46" t="s">
        <v>81</v>
      </c>
      <c r="E163" s="46"/>
      <c r="F163" s="132"/>
      <c r="G163" s="46" t="s">
        <v>29</v>
      </c>
      <c r="H163" s="46"/>
      <c r="I163" s="46"/>
      <c r="J163" s="28">
        <f>J146+J147+J148-J149-J150</f>
        <v>37.612243045049283</v>
      </c>
      <c r="K163" s="120"/>
      <c r="L163" s="120"/>
    </row>
    <row r="164" spans="1:12" ht="18" customHeight="1" x14ac:dyDescent="0.2">
      <c r="A164" s="158" t="s">
        <v>1</v>
      </c>
      <c r="B164" s="46" t="s">
        <v>66</v>
      </c>
      <c r="C164" s="74" t="s">
        <v>15</v>
      </c>
      <c r="D164" s="74"/>
      <c r="E164" s="18" t="s">
        <v>57</v>
      </c>
      <c r="F164" s="132"/>
      <c r="G164" s="128" t="s">
        <v>67</v>
      </c>
      <c r="H164" s="128"/>
      <c r="I164" s="128"/>
      <c r="J164" s="28">
        <f>0.35*H10^0.628</f>
        <v>1.3419709965095103</v>
      </c>
      <c r="K164" s="120"/>
      <c r="L164" s="120"/>
    </row>
    <row r="165" spans="1:12" ht="18" customHeight="1" x14ac:dyDescent="0.2">
      <c r="A165" s="159"/>
      <c r="B165" s="46"/>
      <c r="C165" s="74"/>
      <c r="D165" s="74"/>
      <c r="E165" s="18" t="s">
        <v>58</v>
      </c>
      <c r="F165" s="132"/>
      <c r="G165" s="128" t="s">
        <v>230</v>
      </c>
      <c r="H165" s="128"/>
      <c r="I165" s="128"/>
      <c r="J165" s="28">
        <f>0.73*H10^0.887*($H$15/16.5)</f>
        <v>4.872114063497631</v>
      </c>
      <c r="K165" s="120"/>
      <c r="L165" s="120"/>
    </row>
    <row r="166" spans="1:12" ht="18" customHeight="1" x14ac:dyDescent="0.2">
      <c r="A166" s="159"/>
      <c r="B166" s="46"/>
      <c r="C166" s="74"/>
      <c r="D166" s="74"/>
      <c r="E166" s="18" t="s">
        <v>59</v>
      </c>
      <c r="F166" s="132"/>
      <c r="G166" s="75" t="s">
        <v>238</v>
      </c>
      <c r="H166" s="75"/>
      <c r="I166" s="75"/>
      <c r="J166" s="28">
        <f>0.58*H10*($H$16/566)+1.51*H10*($H$18/38.9)</f>
        <v>17.765000000000001</v>
      </c>
      <c r="K166" s="120"/>
      <c r="L166" s="120"/>
    </row>
    <row r="167" spans="1:12" ht="18" customHeight="1" x14ac:dyDescent="0.2">
      <c r="A167" s="159"/>
      <c r="B167" s="46"/>
      <c r="C167" s="74"/>
      <c r="D167" s="74"/>
      <c r="E167" s="18" t="s">
        <v>60</v>
      </c>
      <c r="F167" s="132"/>
      <c r="G167" s="128" t="s">
        <v>68</v>
      </c>
      <c r="H167" s="128"/>
      <c r="I167" s="128"/>
      <c r="J167" s="28">
        <f>2.7*H10^0.509</f>
        <v>8.0248698452962692</v>
      </c>
      <c r="K167" s="120"/>
      <c r="L167" s="120"/>
    </row>
    <row r="168" spans="1:12" ht="18" customHeight="1" x14ac:dyDescent="0.2">
      <c r="A168" s="159"/>
      <c r="B168" s="46"/>
      <c r="C168" s="74"/>
      <c r="D168" s="74"/>
      <c r="E168" s="18" t="s">
        <v>61</v>
      </c>
      <c r="F168" s="132"/>
      <c r="G168" s="128" t="s">
        <v>237</v>
      </c>
      <c r="H168" s="128"/>
      <c r="I168" s="128"/>
      <c r="J168" s="28">
        <f>7*($H$19/7)</f>
        <v>7</v>
      </c>
      <c r="K168" s="120"/>
      <c r="L168" s="120"/>
    </row>
    <row r="169" spans="1:12" ht="18" customHeight="1" x14ac:dyDescent="0.2">
      <c r="A169" s="159"/>
      <c r="B169" s="46"/>
      <c r="C169" s="74" t="s">
        <v>16</v>
      </c>
      <c r="D169" s="74"/>
      <c r="E169" s="18" t="s">
        <v>58</v>
      </c>
      <c r="F169" s="132"/>
      <c r="G169" s="128" t="s">
        <v>231</v>
      </c>
      <c r="H169" s="128"/>
      <c r="I169" s="128"/>
      <c r="J169" s="28">
        <f>0.62*H11^0.285*($H$15/16.5)</f>
        <v>6.2017521854382371</v>
      </c>
      <c r="K169" s="120"/>
      <c r="L169" s="120"/>
    </row>
    <row r="170" spans="1:12" ht="18" customHeight="1" x14ac:dyDescent="0.2">
      <c r="A170" s="159"/>
      <c r="B170" s="46"/>
      <c r="C170" s="74"/>
      <c r="D170" s="74"/>
      <c r="E170" s="18" t="s">
        <v>62</v>
      </c>
      <c r="F170" s="132"/>
      <c r="G170" s="128" t="s">
        <v>235</v>
      </c>
      <c r="H170" s="128"/>
      <c r="I170" s="128"/>
      <c r="J170" s="28">
        <f>4.3*($H$17/309.1)</f>
        <v>4.3</v>
      </c>
      <c r="K170" s="120"/>
      <c r="L170" s="120"/>
    </row>
    <row r="171" spans="1:12" ht="18" customHeight="1" x14ac:dyDescent="0.2">
      <c r="A171" s="159"/>
      <c r="B171" s="46"/>
      <c r="C171" s="74"/>
      <c r="D171" s="74"/>
      <c r="E171" s="18" t="s">
        <v>60</v>
      </c>
      <c r="F171" s="132"/>
      <c r="G171" s="128" t="s">
        <v>69</v>
      </c>
      <c r="H171" s="128"/>
      <c r="I171" s="128"/>
      <c r="J171" s="28">
        <f>1.9*H11^0.195</f>
        <v>9.1843429622878787</v>
      </c>
      <c r="K171" s="120"/>
      <c r="L171" s="120"/>
    </row>
    <row r="172" spans="1:12" ht="18" customHeight="1" x14ac:dyDescent="0.2">
      <c r="A172" s="159"/>
      <c r="B172" s="46" t="s">
        <v>82</v>
      </c>
      <c r="C172" s="46" t="s">
        <v>43</v>
      </c>
      <c r="D172" s="46"/>
      <c r="E172" s="18" t="s">
        <v>60</v>
      </c>
      <c r="F172" s="132"/>
      <c r="G172" s="128" t="s">
        <v>70</v>
      </c>
      <c r="H172" s="128"/>
      <c r="I172" s="128"/>
      <c r="J172" s="28">
        <f>0.026*H11^0.771</f>
        <v>13.199834702056275</v>
      </c>
      <c r="K172" s="120"/>
      <c r="L172" s="120"/>
    </row>
    <row r="173" spans="1:12" ht="18" customHeight="1" x14ac:dyDescent="0.2">
      <c r="A173" s="159"/>
      <c r="B173" s="46"/>
      <c r="C173" s="46"/>
      <c r="D173" s="46"/>
      <c r="E173" s="18" t="s">
        <v>63</v>
      </c>
      <c r="F173" s="132"/>
      <c r="G173" s="128" t="s">
        <v>232</v>
      </c>
      <c r="H173" s="128"/>
      <c r="I173" s="128"/>
      <c r="J173" s="28">
        <f>0.0092*H11*($H$15/16.5)</f>
        <v>29.716000000000001</v>
      </c>
      <c r="K173" s="120"/>
      <c r="L173" s="120"/>
    </row>
    <row r="174" spans="1:12" ht="18" customHeight="1" x14ac:dyDescent="0.2">
      <c r="A174" s="159"/>
      <c r="B174" s="74" t="s">
        <v>83</v>
      </c>
      <c r="C174" s="46" t="s">
        <v>43</v>
      </c>
      <c r="D174" s="46"/>
      <c r="E174" s="18" t="s">
        <v>60</v>
      </c>
      <c r="F174" s="132"/>
      <c r="G174" s="128" t="s">
        <v>70</v>
      </c>
      <c r="H174" s="128"/>
      <c r="I174" s="128"/>
      <c r="J174" s="28">
        <f>0.026*H11^0.771</f>
        <v>13.199834702056275</v>
      </c>
      <c r="K174" s="120"/>
      <c r="L174" s="120"/>
    </row>
    <row r="175" spans="1:12" ht="18" customHeight="1" x14ac:dyDescent="0.2">
      <c r="A175" s="159"/>
      <c r="B175" s="46"/>
      <c r="C175" s="46"/>
      <c r="D175" s="46"/>
      <c r="E175" s="18" t="s">
        <v>64</v>
      </c>
      <c r="F175" s="132"/>
      <c r="G175" s="128" t="s">
        <v>233</v>
      </c>
      <c r="H175" s="128"/>
      <c r="I175" s="128"/>
      <c r="J175" s="28">
        <f>0.0087*H11^1.007*($H$15/16.5)</f>
        <v>29.736249540018296</v>
      </c>
      <c r="K175" s="120"/>
      <c r="L175" s="120"/>
    </row>
    <row r="176" spans="1:12" ht="18" customHeight="1" x14ac:dyDescent="0.2">
      <c r="A176" s="159"/>
      <c r="B176" s="46"/>
      <c r="C176" s="74" t="s">
        <v>17</v>
      </c>
      <c r="D176" s="46"/>
      <c r="E176" s="18" t="s">
        <v>65</v>
      </c>
      <c r="F176" s="132"/>
      <c r="G176" s="128" t="s">
        <v>234</v>
      </c>
      <c r="H176" s="128"/>
      <c r="I176" s="128"/>
      <c r="J176" s="28">
        <f>1*($H$15/16.5)</f>
        <v>1</v>
      </c>
      <c r="K176" s="120"/>
      <c r="L176" s="120"/>
    </row>
    <row r="177" spans="1:12" ht="18" customHeight="1" x14ac:dyDescent="0.2">
      <c r="A177" s="159"/>
      <c r="B177" s="46"/>
      <c r="C177" s="46"/>
      <c r="D177" s="46"/>
      <c r="E177" s="18" t="s">
        <v>62</v>
      </c>
      <c r="F177" s="132"/>
      <c r="G177" s="128" t="s">
        <v>236</v>
      </c>
      <c r="H177" s="128"/>
      <c r="I177" s="128"/>
      <c r="J177" s="28">
        <f>0.0055*($H$17/309.1)</f>
        <v>5.4999999999999997E-3</v>
      </c>
      <c r="K177" s="120"/>
      <c r="L177" s="120"/>
    </row>
    <row r="178" spans="1:12" ht="18" customHeight="1" x14ac:dyDescent="0.2">
      <c r="A178" s="159"/>
      <c r="B178" s="46"/>
      <c r="C178" s="46"/>
      <c r="D178" s="46"/>
      <c r="E178" s="18" t="s">
        <v>60</v>
      </c>
      <c r="F178" s="132"/>
      <c r="G178" s="128" t="s">
        <v>71</v>
      </c>
      <c r="H178" s="128"/>
      <c r="I178" s="128"/>
      <c r="J178" s="28">
        <f>8.4</f>
        <v>8.4</v>
      </c>
      <c r="K178" s="120"/>
      <c r="L178" s="120"/>
    </row>
    <row r="179" spans="1:12" ht="18" customHeight="1" x14ac:dyDescent="0.2">
      <c r="A179" s="159"/>
      <c r="B179" s="63" t="s">
        <v>18</v>
      </c>
      <c r="C179" s="64"/>
      <c r="D179" s="46" t="s">
        <v>82</v>
      </c>
      <c r="E179" s="46"/>
      <c r="F179" s="132"/>
      <c r="G179" s="46" t="s">
        <v>29</v>
      </c>
      <c r="H179" s="46"/>
      <c r="I179" s="46"/>
      <c r="J179" s="28">
        <f>SUM(J164:J172)-J173</f>
        <v>42.173884755085801</v>
      </c>
      <c r="K179" s="120"/>
      <c r="L179" s="120"/>
    </row>
    <row r="180" spans="1:12" ht="18" customHeight="1" x14ac:dyDescent="0.2">
      <c r="A180" s="159"/>
      <c r="B180" s="132"/>
      <c r="C180" s="133"/>
      <c r="D180" s="46" t="s">
        <v>83</v>
      </c>
      <c r="E180" s="46"/>
      <c r="F180" s="132"/>
      <c r="G180" s="46" t="s">
        <v>29</v>
      </c>
      <c r="H180" s="46"/>
      <c r="I180" s="46"/>
      <c r="J180" s="28">
        <f>SUM(J164:J171)+J174-J175+SUM(J176:J178)</f>
        <v>51.559135215067514</v>
      </c>
      <c r="K180" s="120"/>
      <c r="L180" s="120"/>
    </row>
    <row r="181" spans="1:12" ht="18" customHeight="1" x14ac:dyDescent="0.2">
      <c r="A181" s="160"/>
      <c r="B181" s="65"/>
      <c r="C181" s="66"/>
      <c r="D181" s="46" t="s">
        <v>110</v>
      </c>
      <c r="E181" s="46"/>
      <c r="F181" s="65"/>
      <c r="G181" s="46" t="s">
        <v>29</v>
      </c>
      <c r="H181" s="46"/>
      <c r="I181" s="46"/>
      <c r="J181" s="28">
        <f>J164+J165+H10*1000*0.8*0.35/100*365*$H$16/10^6+J167+J168</f>
        <v>26.155796905303411</v>
      </c>
      <c r="K181" s="120" t="s">
        <v>158</v>
      </c>
      <c r="L181" s="120"/>
    </row>
    <row r="182" spans="1:12" ht="18" customHeight="1" x14ac:dyDescent="0.2">
      <c r="K182" s="23"/>
      <c r="L182" s="23"/>
    </row>
    <row r="183" spans="1:12" ht="18" customHeight="1" x14ac:dyDescent="0.2">
      <c r="K183" s="23"/>
      <c r="L183" s="23"/>
    </row>
    <row r="184" spans="1:12" ht="18" customHeight="1" x14ac:dyDescent="0.2">
      <c r="K184" s="23"/>
      <c r="L184" s="23"/>
    </row>
    <row r="185" spans="1:12" ht="18" customHeight="1" x14ac:dyDescent="0.2">
      <c r="A185" s="2" t="s">
        <v>257</v>
      </c>
      <c r="K185" s="23"/>
      <c r="L185" s="23"/>
    </row>
    <row r="186" spans="1:12" ht="18" customHeight="1" x14ac:dyDescent="0.2">
      <c r="K186" s="23"/>
      <c r="L186" s="23"/>
    </row>
    <row r="187" spans="1:12" ht="18" customHeight="1" x14ac:dyDescent="0.2">
      <c r="A187" s="7" t="s">
        <v>3</v>
      </c>
      <c r="B187" s="90" t="s">
        <v>2</v>
      </c>
      <c r="C187" s="47"/>
      <c r="D187" s="47"/>
      <c r="E187" s="48"/>
      <c r="F187" s="7" t="s">
        <v>4</v>
      </c>
      <c r="G187" s="90" t="s">
        <v>6</v>
      </c>
      <c r="H187" s="47"/>
      <c r="I187" s="48"/>
      <c r="J187" s="40" t="s">
        <v>252</v>
      </c>
      <c r="K187" s="73" t="s">
        <v>7</v>
      </c>
      <c r="L187" s="73"/>
    </row>
    <row r="188" spans="1:12" ht="18" customHeight="1" x14ac:dyDescent="0.2">
      <c r="A188" s="43" t="s">
        <v>0</v>
      </c>
      <c r="B188" s="46" t="s">
        <v>42</v>
      </c>
      <c r="C188" s="46"/>
      <c r="D188" s="46" t="s">
        <v>44</v>
      </c>
      <c r="E188" s="46"/>
      <c r="F188" s="49" t="s">
        <v>84</v>
      </c>
      <c r="G188" s="75" t="s">
        <v>159</v>
      </c>
      <c r="H188" s="75"/>
      <c r="I188" s="75"/>
      <c r="J188" s="27">
        <f>7*(0.5*H3*0.8)*0.01*9.484*365/1000</f>
        <v>82.387507999999997</v>
      </c>
      <c r="K188" s="84" t="s">
        <v>263</v>
      </c>
      <c r="L188" s="184"/>
    </row>
    <row r="189" spans="1:12" ht="18" customHeight="1" x14ac:dyDescent="0.2">
      <c r="A189" s="44"/>
      <c r="B189" s="46"/>
      <c r="C189" s="46"/>
      <c r="D189" s="46" t="s">
        <v>46</v>
      </c>
      <c r="E189" s="46"/>
      <c r="F189" s="50"/>
      <c r="G189" s="75" t="s">
        <v>160</v>
      </c>
      <c r="H189" s="75"/>
      <c r="I189" s="75"/>
      <c r="J189" s="5">
        <f>212*(0.5*H3*0.8)*0.01*9.484*365/1000</f>
        <v>2495.1645279999998</v>
      </c>
      <c r="K189" s="185"/>
      <c r="L189" s="186"/>
    </row>
    <row r="190" spans="1:12" ht="26.25" customHeight="1" x14ac:dyDescent="0.2">
      <c r="A190" s="44"/>
      <c r="B190" s="46" t="s">
        <v>38</v>
      </c>
      <c r="C190" s="46"/>
      <c r="D190" s="46"/>
      <c r="E190" s="46"/>
      <c r="F190" s="50"/>
      <c r="G190" s="75" t="s">
        <v>161</v>
      </c>
      <c r="H190" s="75"/>
      <c r="I190" s="75"/>
      <c r="J190" s="5">
        <f>5.3*(H4*0.8/3.3)*9.484*365/1000</f>
        <v>3402.4970836363641</v>
      </c>
      <c r="K190" s="177" t="s">
        <v>223</v>
      </c>
      <c r="L190" s="178"/>
    </row>
    <row r="191" spans="1:12" ht="27" customHeight="1" x14ac:dyDescent="0.2">
      <c r="A191" s="44"/>
      <c r="B191" s="74" t="s">
        <v>96</v>
      </c>
      <c r="C191" s="46"/>
      <c r="D191" s="46" t="s">
        <v>79</v>
      </c>
      <c r="E191" s="46"/>
      <c r="F191" s="50"/>
      <c r="G191" s="99" t="s">
        <v>164</v>
      </c>
      <c r="H191" s="100"/>
      <c r="I191" s="101"/>
      <c r="J191" s="5">
        <f>(1575.4*(H5/100*0.8*365)^0.6723-62.631*(H12/100*0.8*365)^1.2091)*9.484/1000</f>
        <v>-857.47645890918091</v>
      </c>
      <c r="K191" s="120"/>
      <c r="L191" s="120"/>
    </row>
    <row r="192" spans="1:12" ht="27" customHeight="1" x14ac:dyDescent="0.2">
      <c r="A192" s="44"/>
      <c r="B192" s="46"/>
      <c r="C192" s="46"/>
      <c r="D192" s="46" t="s">
        <v>112</v>
      </c>
      <c r="E192" s="46"/>
      <c r="F192" s="50"/>
      <c r="G192" s="102"/>
      <c r="H192" s="103"/>
      <c r="I192" s="104"/>
      <c r="J192" s="22">
        <f>(62.631*(H6/100*0.8*365)^1.2091-62.631*(H12/100*0.8*365)^1.2091)*9.484/1000</f>
        <v>-223.00447583850672</v>
      </c>
      <c r="K192" s="120"/>
      <c r="L192" s="120"/>
    </row>
    <row r="193" spans="1:12" ht="18" customHeight="1" x14ac:dyDescent="0.2">
      <c r="A193" s="44"/>
      <c r="B193" s="63" t="s">
        <v>43</v>
      </c>
      <c r="C193" s="105"/>
      <c r="D193" s="105"/>
      <c r="E193" s="64"/>
      <c r="F193" s="50"/>
      <c r="G193" s="91" t="s">
        <v>163</v>
      </c>
      <c r="H193" s="92"/>
      <c r="I193" s="93"/>
      <c r="J193" s="97">
        <f>(H4*0.01*0.8*0.8*500*21.5*0.32*0.9*1000/3600*355)*9.484/1000</f>
        <v>14176.1976192</v>
      </c>
      <c r="K193" s="107"/>
      <c r="L193" s="108"/>
    </row>
    <row r="194" spans="1:12" ht="18" customHeight="1" x14ac:dyDescent="0.2">
      <c r="A194" s="44"/>
      <c r="B194" s="65"/>
      <c r="C194" s="106"/>
      <c r="D194" s="106"/>
      <c r="E194" s="66"/>
      <c r="F194" s="50"/>
      <c r="G194" s="94"/>
      <c r="H194" s="95"/>
      <c r="I194" s="96"/>
      <c r="J194" s="98"/>
      <c r="K194" s="109"/>
      <c r="L194" s="110"/>
    </row>
    <row r="195" spans="1:12" ht="18" customHeight="1" x14ac:dyDescent="0.2">
      <c r="A195" s="44"/>
      <c r="B195" s="76" t="s">
        <v>106</v>
      </c>
      <c r="C195" s="77"/>
      <c r="D195" s="46" t="s">
        <v>79</v>
      </c>
      <c r="E195" s="46"/>
      <c r="F195" s="50"/>
      <c r="G195" s="46" t="s">
        <v>29</v>
      </c>
      <c r="H195" s="46"/>
      <c r="I195" s="46"/>
      <c r="J195" s="10">
        <f>-(J188+J189+J191)</f>
        <v>-1720.0755770908186</v>
      </c>
      <c r="K195" s="120"/>
      <c r="L195" s="120"/>
    </row>
    <row r="196" spans="1:12" ht="18" customHeight="1" x14ac:dyDescent="0.2">
      <c r="A196" s="44"/>
      <c r="B196" s="78"/>
      <c r="C196" s="79"/>
      <c r="D196" s="46" t="s">
        <v>80</v>
      </c>
      <c r="E196" s="46"/>
      <c r="F196" s="50"/>
      <c r="G196" s="46" t="s">
        <v>29</v>
      </c>
      <c r="H196" s="46"/>
      <c r="I196" s="46"/>
      <c r="J196" s="10">
        <f>-(J188+J189+J190+J192)</f>
        <v>-5757.0446437978571</v>
      </c>
      <c r="K196" s="120"/>
      <c r="L196" s="120"/>
    </row>
    <row r="197" spans="1:12" ht="18" customHeight="1" x14ac:dyDescent="0.2">
      <c r="A197" s="44"/>
      <c r="B197" s="78"/>
      <c r="C197" s="79"/>
      <c r="D197" s="46" t="s">
        <v>243</v>
      </c>
      <c r="E197" s="46"/>
      <c r="F197" s="50"/>
      <c r="G197" s="46" t="s">
        <v>29</v>
      </c>
      <c r="H197" s="46"/>
      <c r="I197" s="46"/>
      <c r="J197" s="10">
        <f>J193-(J188+J189+J190+J192)</f>
        <v>8419.1529754021431</v>
      </c>
      <c r="K197" s="120"/>
      <c r="L197" s="120"/>
    </row>
    <row r="198" spans="1:12" ht="18" customHeight="1" x14ac:dyDescent="0.2">
      <c r="A198" s="45"/>
      <c r="B198" s="80"/>
      <c r="C198" s="81"/>
      <c r="D198" s="46" t="s">
        <v>81</v>
      </c>
      <c r="E198" s="46"/>
      <c r="F198" s="50"/>
      <c r="G198" s="46" t="s">
        <v>29</v>
      </c>
      <c r="H198" s="46"/>
      <c r="I198" s="46"/>
      <c r="J198" s="10">
        <f>-(J188+J189+J190)</f>
        <v>-5980.0491196363637</v>
      </c>
      <c r="K198" s="120"/>
      <c r="L198" s="120"/>
    </row>
    <row r="199" spans="1:12" ht="18" customHeight="1" x14ac:dyDescent="0.2">
      <c r="A199" s="43" t="s">
        <v>1</v>
      </c>
      <c r="B199" s="46" t="s">
        <v>82</v>
      </c>
      <c r="C199" s="74" t="s">
        <v>107</v>
      </c>
      <c r="D199" s="73" t="s">
        <v>85</v>
      </c>
      <c r="E199" s="73"/>
      <c r="F199" s="50"/>
      <c r="G199" s="128" t="s">
        <v>89</v>
      </c>
      <c r="H199" s="128"/>
      <c r="I199" s="128"/>
      <c r="J199" s="10">
        <f>428*H10^0.889</f>
        <v>2868.7796662446221</v>
      </c>
      <c r="K199" s="120"/>
      <c r="L199" s="120"/>
    </row>
    <row r="200" spans="1:12" ht="18" customHeight="1" x14ac:dyDescent="0.2">
      <c r="A200" s="44"/>
      <c r="B200" s="46"/>
      <c r="C200" s="74"/>
      <c r="D200" s="73" t="s">
        <v>86</v>
      </c>
      <c r="E200" s="73"/>
      <c r="F200" s="50"/>
      <c r="G200" s="128" t="s">
        <v>90</v>
      </c>
      <c r="H200" s="128"/>
      <c r="I200" s="128"/>
      <c r="J200" s="10">
        <f>359*H11^0.285</f>
        <v>3591.0145718908507</v>
      </c>
      <c r="K200" s="120"/>
      <c r="L200" s="120"/>
    </row>
    <row r="201" spans="1:12" ht="18" customHeight="1" x14ac:dyDescent="0.2">
      <c r="A201" s="44"/>
      <c r="B201" s="46"/>
      <c r="C201" s="18" t="s">
        <v>108</v>
      </c>
      <c r="D201" s="73" t="s">
        <v>8</v>
      </c>
      <c r="E201" s="73"/>
      <c r="F201" s="50"/>
      <c r="G201" s="128" t="s">
        <v>91</v>
      </c>
      <c r="H201" s="128"/>
      <c r="I201" s="128"/>
      <c r="J201" s="10">
        <f>5.3*H11</f>
        <v>17119</v>
      </c>
      <c r="K201" s="120"/>
      <c r="L201" s="120"/>
    </row>
    <row r="202" spans="1:12" ht="18" customHeight="1" x14ac:dyDescent="0.2">
      <c r="A202" s="44"/>
      <c r="B202" s="46" t="s">
        <v>83</v>
      </c>
      <c r="C202" s="74" t="s">
        <v>107</v>
      </c>
      <c r="D202" s="73" t="s">
        <v>85</v>
      </c>
      <c r="E202" s="73"/>
      <c r="F202" s="50"/>
      <c r="G202" s="128" t="s">
        <v>92</v>
      </c>
      <c r="H202" s="128"/>
      <c r="I202" s="128"/>
      <c r="J202" s="10">
        <f>428*H10^0.889</f>
        <v>2868.7796662446221</v>
      </c>
      <c r="K202" s="120"/>
      <c r="L202" s="120"/>
    </row>
    <row r="203" spans="1:12" ht="18" customHeight="1" x14ac:dyDescent="0.2">
      <c r="A203" s="44"/>
      <c r="B203" s="46"/>
      <c r="C203" s="74"/>
      <c r="D203" s="73" t="s">
        <v>86</v>
      </c>
      <c r="E203" s="73"/>
      <c r="F203" s="50"/>
      <c r="G203" s="128" t="s">
        <v>90</v>
      </c>
      <c r="H203" s="128"/>
      <c r="I203" s="128"/>
      <c r="J203" s="10">
        <f>359*H11^0.285</f>
        <v>3591.0145718908507</v>
      </c>
      <c r="K203" s="120"/>
      <c r="L203" s="120"/>
    </row>
    <row r="204" spans="1:12" ht="18" customHeight="1" x14ac:dyDescent="0.2">
      <c r="A204" s="44"/>
      <c r="B204" s="46"/>
      <c r="C204" s="74"/>
      <c r="D204" s="73" t="s">
        <v>87</v>
      </c>
      <c r="E204" s="73"/>
      <c r="F204" s="50"/>
      <c r="G204" s="128" t="s">
        <v>93</v>
      </c>
      <c r="H204" s="128"/>
      <c r="I204" s="128"/>
      <c r="J204" s="10">
        <f>562</f>
        <v>562</v>
      </c>
      <c r="K204" s="120"/>
      <c r="L204" s="120"/>
    </row>
    <row r="205" spans="1:12" ht="18" customHeight="1" x14ac:dyDescent="0.2">
      <c r="A205" s="44"/>
      <c r="B205" s="46"/>
      <c r="C205" s="73" t="s">
        <v>109</v>
      </c>
      <c r="D205" s="73" t="s">
        <v>8</v>
      </c>
      <c r="E205" s="73"/>
      <c r="F205" s="50"/>
      <c r="G205" s="128" t="s">
        <v>94</v>
      </c>
      <c r="H205" s="128"/>
      <c r="I205" s="128"/>
      <c r="J205" s="10">
        <f>5*H11^1.007</f>
        <v>17089.79858621741</v>
      </c>
      <c r="K205" s="120"/>
      <c r="L205" s="120"/>
    </row>
    <row r="206" spans="1:12" ht="18" customHeight="1" x14ac:dyDescent="0.2">
      <c r="A206" s="44"/>
      <c r="B206" s="46"/>
      <c r="C206" s="73"/>
      <c r="D206" s="73" t="s">
        <v>88</v>
      </c>
      <c r="E206" s="73"/>
      <c r="F206" s="50"/>
      <c r="G206" s="128" t="s">
        <v>95</v>
      </c>
      <c r="H206" s="128"/>
      <c r="I206" s="128"/>
      <c r="J206" s="10">
        <f>65.8</f>
        <v>65.8</v>
      </c>
      <c r="K206" s="120"/>
      <c r="L206" s="120"/>
    </row>
    <row r="207" spans="1:12" ht="18" customHeight="1" x14ac:dyDescent="0.2">
      <c r="A207" s="44"/>
      <c r="B207" s="74" t="s">
        <v>106</v>
      </c>
      <c r="C207" s="74"/>
      <c r="D207" s="46" t="s">
        <v>82</v>
      </c>
      <c r="E207" s="46"/>
      <c r="F207" s="50"/>
      <c r="G207" s="46" t="s">
        <v>29</v>
      </c>
      <c r="H207" s="46"/>
      <c r="I207" s="46"/>
      <c r="J207" s="10">
        <f>J201-SUM(J199:J200)</f>
        <v>10659.205761864527</v>
      </c>
      <c r="K207" s="120"/>
      <c r="L207" s="120"/>
    </row>
    <row r="208" spans="1:12" ht="18" customHeight="1" x14ac:dyDescent="0.2">
      <c r="A208" s="44"/>
      <c r="B208" s="74"/>
      <c r="C208" s="74"/>
      <c r="D208" s="46" t="s">
        <v>83</v>
      </c>
      <c r="E208" s="46"/>
      <c r="F208" s="50"/>
      <c r="G208" s="46" t="s">
        <v>29</v>
      </c>
      <c r="H208" s="46"/>
      <c r="I208" s="46"/>
      <c r="J208" s="10">
        <f>SUM(J205:J206)-SUM(J202:J204)</f>
        <v>10133.804348081936</v>
      </c>
      <c r="K208" s="120"/>
      <c r="L208" s="120"/>
    </row>
    <row r="209" spans="1:12" ht="18" customHeight="1" x14ac:dyDescent="0.2">
      <c r="A209" s="45"/>
      <c r="B209" s="74"/>
      <c r="C209" s="74"/>
      <c r="D209" s="46" t="s">
        <v>110</v>
      </c>
      <c r="E209" s="46"/>
      <c r="F209" s="51"/>
      <c r="G209" s="46" t="s">
        <v>29</v>
      </c>
      <c r="H209" s="46"/>
      <c r="I209" s="46"/>
      <c r="J209" s="10">
        <f>-J199</f>
        <v>-2868.7796662446221</v>
      </c>
      <c r="K209" s="120"/>
      <c r="L209" s="120"/>
    </row>
    <row r="210" spans="1:12" ht="18" customHeight="1" x14ac:dyDescent="0.2">
      <c r="K210" s="23"/>
      <c r="L210" s="23"/>
    </row>
    <row r="211" spans="1:12" ht="18" customHeight="1" x14ac:dyDescent="0.2">
      <c r="K211" s="23"/>
      <c r="L211" s="23"/>
    </row>
    <row r="212" spans="1:12" ht="18" customHeight="1" x14ac:dyDescent="0.2">
      <c r="K212" s="23"/>
      <c r="L212" s="23"/>
    </row>
    <row r="213" spans="1:12" ht="18" customHeight="1" x14ac:dyDescent="0.2">
      <c r="A213" s="2" t="s">
        <v>258</v>
      </c>
      <c r="K213" s="23"/>
      <c r="L213" s="23"/>
    </row>
    <row r="214" spans="1:12" ht="18" customHeight="1" x14ac:dyDescent="0.2">
      <c r="K214" s="23"/>
      <c r="L214" s="23"/>
    </row>
    <row r="215" spans="1:12" ht="18" customHeight="1" x14ac:dyDescent="0.2">
      <c r="A215" s="7" t="s">
        <v>3</v>
      </c>
      <c r="B215" s="90" t="s">
        <v>2</v>
      </c>
      <c r="C215" s="47"/>
      <c r="D215" s="47"/>
      <c r="E215" s="48"/>
      <c r="F215" s="7" t="s">
        <v>4</v>
      </c>
      <c r="G215" s="90" t="s">
        <v>6</v>
      </c>
      <c r="H215" s="47"/>
      <c r="I215" s="48"/>
      <c r="J215" s="6" t="s">
        <v>259</v>
      </c>
      <c r="K215" s="73" t="s">
        <v>7</v>
      </c>
      <c r="L215" s="73"/>
    </row>
    <row r="216" spans="1:12" ht="18" customHeight="1" x14ac:dyDescent="0.2">
      <c r="A216" s="43" t="s">
        <v>0</v>
      </c>
      <c r="B216" s="46" t="s">
        <v>97</v>
      </c>
      <c r="C216" s="49" t="s">
        <v>165</v>
      </c>
      <c r="D216" s="90" t="s">
        <v>44</v>
      </c>
      <c r="E216" s="48"/>
      <c r="F216" s="49" t="s">
        <v>166</v>
      </c>
      <c r="G216" s="54" t="s">
        <v>194</v>
      </c>
      <c r="H216" s="55"/>
      <c r="I216" s="56"/>
      <c r="J216" s="22">
        <f>J188/9.484*1000*$H$23</f>
        <v>4.2392560000000001</v>
      </c>
      <c r="K216" s="75"/>
      <c r="L216" s="75"/>
    </row>
    <row r="217" spans="1:12" ht="18" customHeight="1" x14ac:dyDescent="0.2">
      <c r="A217" s="44"/>
      <c r="B217" s="46"/>
      <c r="C217" s="50"/>
      <c r="D217" s="90" t="s">
        <v>46</v>
      </c>
      <c r="E217" s="48"/>
      <c r="F217" s="50"/>
      <c r="G217" s="57"/>
      <c r="H217" s="58"/>
      <c r="I217" s="59"/>
      <c r="J217" s="22">
        <f>J189/9.484*1000*$H$23</f>
        <v>128.38889599999999</v>
      </c>
      <c r="K217" s="75"/>
      <c r="L217" s="75"/>
    </row>
    <row r="218" spans="1:12" ht="18" customHeight="1" x14ac:dyDescent="0.2">
      <c r="A218" s="44"/>
      <c r="B218" s="46"/>
      <c r="C218" s="50"/>
      <c r="D218" s="90" t="s">
        <v>38</v>
      </c>
      <c r="E218" s="48"/>
      <c r="F218" s="50"/>
      <c r="G218" s="57"/>
      <c r="H218" s="58"/>
      <c r="I218" s="59"/>
      <c r="J218" s="22">
        <f>J190/9.484*1000*$H$23</f>
        <v>175.07576727272729</v>
      </c>
      <c r="K218" s="175"/>
      <c r="L218" s="175"/>
    </row>
    <row r="219" spans="1:12" ht="27" customHeight="1" x14ac:dyDescent="0.2">
      <c r="A219" s="44"/>
      <c r="B219" s="46"/>
      <c r="C219" s="50"/>
      <c r="D219" s="52" t="s">
        <v>96</v>
      </c>
      <c r="E219" s="19" t="s">
        <v>79</v>
      </c>
      <c r="F219" s="50"/>
      <c r="G219" s="57"/>
      <c r="H219" s="58"/>
      <c r="I219" s="59"/>
      <c r="J219" s="22">
        <f>J191/9.484*1000*$H$23</f>
        <v>-44.121521715276288</v>
      </c>
      <c r="K219" s="75"/>
      <c r="L219" s="75"/>
    </row>
    <row r="220" spans="1:12" ht="27" customHeight="1" x14ac:dyDescent="0.2">
      <c r="A220" s="44"/>
      <c r="B220" s="46"/>
      <c r="C220" s="51"/>
      <c r="D220" s="53"/>
      <c r="E220" s="19" t="s">
        <v>112</v>
      </c>
      <c r="F220" s="50"/>
      <c r="G220" s="60"/>
      <c r="H220" s="61"/>
      <c r="I220" s="62"/>
      <c r="J220" s="22">
        <f>J192/9.484*1000*$H$23</f>
        <v>-11.47471364500119</v>
      </c>
      <c r="K220" s="75"/>
      <c r="L220" s="75"/>
    </row>
    <row r="221" spans="1:12" ht="18" customHeight="1" x14ac:dyDescent="0.2">
      <c r="A221" s="44"/>
      <c r="B221" s="46"/>
      <c r="C221" s="63" t="s">
        <v>101</v>
      </c>
      <c r="D221" s="64"/>
      <c r="E221" s="19" t="s">
        <v>79</v>
      </c>
      <c r="F221" s="50"/>
      <c r="G221" s="67" t="s">
        <v>195</v>
      </c>
      <c r="H221" s="68"/>
      <c r="I221" s="69"/>
      <c r="J221" s="5">
        <f>(H3/100*0.8*0.5*0.3/100+H5/100*0.8*1.2/100)*365*$H$24</f>
        <v>198.4359</v>
      </c>
      <c r="K221" s="75"/>
      <c r="L221" s="75"/>
    </row>
    <row r="222" spans="1:12" ht="18" customHeight="1" x14ac:dyDescent="0.2">
      <c r="A222" s="44"/>
      <c r="B222" s="46"/>
      <c r="C222" s="65"/>
      <c r="D222" s="66"/>
      <c r="E222" s="19" t="s">
        <v>112</v>
      </c>
      <c r="F222" s="50"/>
      <c r="G222" s="70"/>
      <c r="H222" s="71"/>
      <c r="I222" s="72"/>
      <c r="J222" s="22">
        <f>(H3/100*0.8*0.5*0.3/100+H6/100*0.8*1.6/100)*365*$H$24</f>
        <v>154.29601199999999</v>
      </c>
      <c r="K222" s="75"/>
      <c r="L222" s="75"/>
    </row>
    <row r="223" spans="1:12" ht="18" customHeight="1" x14ac:dyDescent="0.2">
      <c r="A223" s="44"/>
      <c r="B223" s="46"/>
      <c r="C223" s="46" t="s">
        <v>103</v>
      </c>
      <c r="D223" s="46"/>
      <c r="E223" s="46"/>
      <c r="F223" s="50"/>
      <c r="G223" s="75" t="s">
        <v>196</v>
      </c>
      <c r="H223" s="75"/>
      <c r="I223" s="75"/>
      <c r="J223" s="27">
        <f>H4/100*0.8*0.8*500/600000*355*$H$27</f>
        <v>0.37658400000000009</v>
      </c>
      <c r="K223" s="75"/>
      <c r="L223" s="75"/>
    </row>
    <row r="224" spans="1:12" ht="18" customHeight="1" x14ac:dyDescent="0.2">
      <c r="A224" s="44"/>
      <c r="B224" s="20" t="s">
        <v>162</v>
      </c>
      <c r="C224" s="47" t="s">
        <v>8</v>
      </c>
      <c r="D224" s="47"/>
      <c r="E224" s="48"/>
      <c r="F224" s="50"/>
      <c r="G224" s="75" t="s">
        <v>197</v>
      </c>
      <c r="H224" s="75"/>
      <c r="I224" s="75"/>
      <c r="J224" s="5">
        <f>J193/9.484*1000*$H$23</f>
        <v>729.43741439999997</v>
      </c>
      <c r="K224" s="75"/>
      <c r="L224" s="75"/>
    </row>
    <row r="225" spans="1:12" ht="18" customHeight="1" x14ac:dyDescent="0.2">
      <c r="A225" s="44"/>
      <c r="B225" s="76" t="s">
        <v>115</v>
      </c>
      <c r="C225" s="77"/>
      <c r="D225" s="46" t="s">
        <v>79</v>
      </c>
      <c r="E225" s="46"/>
      <c r="F225" s="50"/>
      <c r="G225" s="46" t="s">
        <v>29</v>
      </c>
      <c r="H225" s="46"/>
      <c r="I225" s="46"/>
      <c r="J225" s="5">
        <f>J216+J217+J219+J221</f>
        <v>286.94253028472372</v>
      </c>
      <c r="K225" s="75"/>
      <c r="L225" s="75"/>
    </row>
    <row r="226" spans="1:12" ht="18" customHeight="1" x14ac:dyDescent="0.2">
      <c r="A226" s="44"/>
      <c r="B226" s="78"/>
      <c r="C226" s="79"/>
      <c r="D226" s="46" t="s">
        <v>80</v>
      </c>
      <c r="E226" s="46"/>
      <c r="F226" s="50"/>
      <c r="G226" s="46" t="s">
        <v>29</v>
      </c>
      <c r="H226" s="46"/>
      <c r="I226" s="46"/>
      <c r="J226" s="5">
        <f>J216+J217+J218+J220+J222</f>
        <v>450.52521762772608</v>
      </c>
      <c r="K226" s="75"/>
      <c r="L226" s="75"/>
    </row>
    <row r="227" spans="1:12" ht="18" customHeight="1" x14ac:dyDescent="0.2">
      <c r="A227" s="44"/>
      <c r="B227" s="78"/>
      <c r="C227" s="79"/>
      <c r="D227" s="46" t="s">
        <v>243</v>
      </c>
      <c r="E227" s="46"/>
      <c r="F227" s="50"/>
      <c r="G227" s="46" t="s">
        <v>29</v>
      </c>
      <c r="H227" s="46"/>
      <c r="I227" s="46"/>
      <c r="J227" s="22">
        <f>J216+J217+J218+J220+J222-J224</f>
        <v>-278.91219677227389</v>
      </c>
      <c r="K227" s="75"/>
      <c r="L227" s="75"/>
    </row>
    <row r="228" spans="1:12" ht="18" customHeight="1" x14ac:dyDescent="0.2">
      <c r="A228" s="45"/>
      <c r="B228" s="80"/>
      <c r="C228" s="81"/>
      <c r="D228" s="46" t="s">
        <v>81</v>
      </c>
      <c r="E228" s="46"/>
      <c r="F228" s="50"/>
      <c r="G228" s="46" t="s">
        <v>29</v>
      </c>
      <c r="H228" s="46"/>
      <c r="I228" s="46"/>
      <c r="J228" s="5">
        <f>J216+J217+J218+(H3/100*0.8*0.5*0.3/100)*365*$H$24</f>
        <v>331.90341927272726</v>
      </c>
      <c r="K228" s="75" t="s">
        <v>167</v>
      </c>
      <c r="L228" s="75"/>
    </row>
    <row r="229" spans="1:12" ht="18" customHeight="1" x14ac:dyDescent="0.2">
      <c r="A229" s="43" t="s">
        <v>1</v>
      </c>
      <c r="B229" s="46" t="s">
        <v>82</v>
      </c>
      <c r="C229" s="74" t="s">
        <v>97</v>
      </c>
      <c r="D229" s="73" t="s">
        <v>98</v>
      </c>
      <c r="E229" s="73"/>
      <c r="F229" s="50"/>
      <c r="G229" s="128" t="s">
        <v>198</v>
      </c>
      <c r="H229" s="128"/>
      <c r="I229" s="128"/>
      <c r="J229" s="10">
        <f>110.3*H10^0.513*($H$23/0.000488)</f>
        <v>330.64915817026252</v>
      </c>
      <c r="K229" s="75"/>
      <c r="L229" s="75"/>
    </row>
    <row r="230" spans="1:12" ht="18" customHeight="1" x14ac:dyDescent="0.2">
      <c r="A230" s="44"/>
      <c r="B230" s="46"/>
      <c r="C230" s="74"/>
      <c r="D230" s="73" t="s">
        <v>100</v>
      </c>
      <c r="E230" s="73"/>
      <c r="F230" s="50"/>
      <c r="G230" s="128" t="s">
        <v>199</v>
      </c>
      <c r="H230" s="128"/>
      <c r="I230" s="128"/>
      <c r="J230" s="10">
        <f>27.6*($H$25/0.002)</f>
        <v>27.6</v>
      </c>
      <c r="K230" s="75"/>
      <c r="L230" s="75"/>
    </row>
    <row r="231" spans="1:12" ht="18" customHeight="1" x14ac:dyDescent="0.2">
      <c r="A231" s="44"/>
      <c r="B231" s="46"/>
      <c r="C231" s="74"/>
      <c r="D231" s="73" t="s">
        <v>101</v>
      </c>
      <c r="E231" s="73"/>
      <c r="F231" s="50"/>
      <c r="G231" s="128" t="s">
        <v>201</v>
      </c>
      <c r="H231" s="128"/>
      <c r="I231" s="128"/>
      <c r="J231" s="10">
        <f>21.8*H10*($H$24/6.5)</f>
        <v>185.3</v>
      </c>
      <c r="K231" s="75"/>
      <c r="L231" s="75"/>
    </row>
    <row r="232" spans="1:12" ht="18" customHeight="1" x14ac:dyDescent="0.2">
      <c r="A232" s="44"/>
      <c r="B232" s="46"/>
      <c r="C232" s="74"/>
      <c r="D232" s="73" t="s">
        <v>102</v>
      </c>
      <c r="E232" s="73"/>
      <c r="F232" s="50"/>
      <c r="G232" s="128" t="s">
        <v>202</v>
      </c>
      <c r="H232" s="128"/>
      <c r="I232" s="128"/>
      <c r="J232" s="10">
        <f>1.2*H10*($H$26/0.0308)</f>
        <v>10.199999999999999</v>
      </c>
      <c r="K232" s="75"/>
      <c r="L232" s="75"/>
    </row>
    <row r="233" spans="1:12" ht="18" customHeight="1" x14ac:dyDescent="0.2">
      <c r="A233" s="44"/>
      <c r="B233" s="46"/>
      <c r="C233" s="74"/>
      <c r="D233" s="73" t="s">
        <v>103</v>
      </c>
      <c r="E233" s="73"/>
      <c r="F233" s="50"/>
      <c r="G233" s="128" t="s">
        <v>203</v>
      </c>
      <c r="H233" s="128"/>
      <c r="I233" s="128"/>
      <c r="J233" s="10">
        <f>0.037*H10^1.031*($H$27/0.26)</f>
        <v>0.3360722367585372</v>
      </c>
      <c r="K233" s="75"/>
      <c r="L233" s="75"/>
    </row>
    <row r="234" spans="1:12" ht="18" customHeight="1" x14ac:dyDescent="0.2">
      <c r="A234" s="44"/>
      <c r="B234" s="46"/>
      <c r="C234" s="14" t="s">
        <v>99</v>
      </c>
      <c r="D234" s="73" t="s">
        <v>8</v>
      </c>
      <c r="E234" s="73"/>
      <c r="F234" s="50"/>
      <c r="G234" s="128" t="s">
        <v>204</v>
      </c>
      <c r="H234" s="128"/>
      <c r="I234" s="128"/>
      <c r="J234" s="10">
        <f>103.9*H10*($H$23/0.000488)</f>
        <v>883.15000000000009</v>
      </c>
      <c r="K234" s="75"/>
      <c r="L234" s="75"/>
    </row>
    <row r="235" spans="1:12" ht="18" customHeight="1" x14ac:dyDescent="0.2">
      <c r="A235" s="44"/>
      <c r="B235" s="46" t="s">
        <v>83</v>
      </c>
      <c r="C235" s="74" t="s">
        <v>104</v>
      </c>
      <c r="D235" s="73" t="s">
        <v>98</v>
      </c>
      <c r="E235" s="73"/>
      <c r="F235" s="50"/>
      <c r="G235" s="128" t="s">
        <v>200</v>
      </c>
      <c r="H235" s="128"/>
      <c r="I235" s="128"/>
      <c r="J235" s="10">
        <f>133.8*H10^0.462*($H$23/0.000488)</f>
        <v>359.6231635284496</v>
      </c>
      <c r="K235" s="75"/>
      <c r="L235" s="75"/>
    </row>
    <row r="236" spans="1:12" ht="18" customHeight="1" x14ac:dyDescent="0.2">
      <c r="A236" s="44"/>
      <c r="B236" s="46"/>
      <c r="C236" s="74"/>
      <c r="D236" s="73" t="s">
        <v>100</v>
      </c>
      <c r="E236" s="73"/>
      <c r="F236" s="50"/>
      <c r="G236" s="128" t="s">
        <v>199</v>
      </c>
      <c r="H236" s="128"/>
      <c r="I236" s="128"/>
      <c r="J236" s="10">
        <f>27.6*($H$25/0.002)</f>
        <v>27.6</v>
      </c>
      <c r="K236" s="75"/>
      <c r="L236" s="75"/>
    </row>
    <row r="237" spans="1:12" ht="18" customHeight="1" x14ac:dyDescent="0.2">
      <c r="A237" s="44"/>
      <c r="B237" s="46"/>
      <c r="C237" s="74"/>
      <c r="D237" s="73" t="s">
        <v>101</v>
      </c>
      <c r="E237" s="73"/>
      <c r="F237" s="50"/>
      <c r="G237" s="128" t="s">
        <v>201</v>
      </c>
      <c r="H237" s="128"/>
      <c r="I237" s="128"/>
      <c r="J237" s="10">
        <f>21.8*H10*($H$24/6.5)</f>
        <v>185.3</v>
      </c>
      <c r="K237" s="75"/>
      <c r="L237" s="75"/>
    </row>
    <row r="238" spans="1:12" ht="18" customHeight="1" x14ac:dyDescent="0.2">
      <c r="A238" s="44"/>
      <c r="B238" s="46"/>
      <c r="C238" s="74"/>
      <c r="D238" s="73" t="s">
        <v>102</v>
      </c>
      <c r="E238" s="73"/>
      <c r="F238" s="50"/>
      <c r="G238" s="128" t="s">
        <v>202</v>
      </c>
      <c r="H238" s="128"/>
      <c r="I238" s="128"/>
      <c r="J238" s="10">
        <f>1.2*H10*($H$26/0.0308)</f>
        <v>10.199999999999999</v>
      </c>
      <c r="K238" s="75"/>
      <c r="L238" s="75"/>
    </row>
    <row r="239" spans="1:12" ht="18" customHeight="1" x14ac:dyDescent="0.2">
      <c r="A239" s="44"/>
      <c r="B239" s="46"/>
      <c r="C239" s="74"/>
      <c r="D239" s="73" t="s">
        <v>103</v>
      </c>
      <c r="E239" s="73"/>
      <c r="F239" s="50"/>
      <c r="G239" s="128" t="s">
        <v>203</v>
      </c>
      <c r="H239" s="128"/>
      <c r="I239" s="128"/>
      <c r="J239" s="10">
        <f>0.037*H10^1.031*($H$27/0.26)</f>
        <v>0.3360722367585372</v>
      </c>
      <c r="K239" s="75"/>
      <c r="L239" s="75"/>
    </row>
    <row r="240" spans="1:12" ht="18" customHeight="1" x14ac:dyDescent="0.2">
      <c r="A240" s="44"/>
      <c r="B240" s="46"/>
      <c r="C240" s="74" t="s">
        <v>105</v>
      </c>
      <c r="D240" s="73" t="s">
        <v>88</v>
      </c>
      <c r="E240" s="73"/>
      <c r="F240" s="50"/>
      <c r="G240" s="128" t="s">
        <v>206</v>
      </c>
      <c r="H240" s="128"/>
      <c r="I240" s="128"/>
      <c r="J240" s="10">
        <f>4.5*($H$28/2.32)</f>
        <v>4.5</v>
      </c>
      <c r="K240" s="75"/>
      <c r="L240" s="75"/>
    </row>
    <row r="241" spans="1:12" ht="18" customHeight="1" x14ac:dyDescent="0.2">
      <c r="A241" s="44"/>
      <c r="B241" s="46"/>
      <c r="C241" s="74"/>
      <c r="D241" s="74" t="s">
        <v>8</v>
      </c>
      <c r="E241" s="74"/>
      <c r="F241" s="50"/>
      <c r="G241" s="128" t="s">
        <v>205</v>
      </c>
      <c r="H241" s="128"/>
      <c r="I241" s="128"/>
      <c r="J241" s="10">
        <f>101.9*H10^1.007*($H$23/0.000488)</f>
        <v>879.22300349631462</v>
      </c>
      <c r="K241" s="75"/>
      <c r="L241" s="75"/>
    </row>
    <row r="242" spans="1:12" ht="18" customHeight="1" x14ac:dyDescent="0.2">
      <c r="A242" s="44"/>
      <c r="B242" s="76" t="s">
        <v>115</v>
      </c>
      <c r="C242" s="77"/>
      <c r="D242" s="46" t="s">
        <v>82</v>
      </c>
      <c r="E242" s="46"/>
      <c r="F242" s="50"/>
      <c r="G242" s="46" t="s">
        <v>29</v>
      </c>
      <c r="H242" s="46"/>
      <c r="I242" s="46"/>
      <c r="J242" s="10">
        <f>SUM(J229:J233)-J234</f>
        <v>-329.06476959297891</v>
      </c>
      <c r="K242" s="75"/>
      <c r="L242" s="75"/>
    </row>
    <row r="243" spans="1:12" ht="18" customHeight="1" x14ac:dyDescent="0.2">
      <c r="A243" s="44"/>
      <c r="B243" s="78"/>
      <c r="C243" s="79"/>
      <c r="D243" s="46" t="s">
        <v>83</v>
      </c>
      <c r="E243" s="46"/>
      <c r="F243" s="50"/>
      <c r="G243" s="46" t="s">
        <v>29</v>
      </c>
      <c r="H243" s="46"/>
      <c r="I243" s="46"/>
      <c r="J243" s="10">
        <f>SUM(J235:J239)-SUM(J240:J241)</f>
        <v>-300.6637677311063</v>
      </c>
      <c r="K243" s="75"/>
      <c r="L243" s="75"/>
    </row>
    <row r="244" spans="1:12" ht="18" customHeight="1" x14ac:dyDescent="0.2">
      <c r="A244" s="45"/>
      <c r="B244" s="80"/>
      <c r="C244" s="81"/>
      <c r="D244" s="46" t="s">
        <v>110</v>
      </c>
      <c r="E244" s="46"/>
      <c r="F244" s="51"/>
      <c r="G244" s="46" t="s">
        <v>29</v>
      </c>
      <c r="H244" s="46"/>
      <c r="I244" s="46"/>
      <c r="J244" s="32">
        <f>-J209/9.484*1000*$H$23+(H3/100*0.8*0.35/100)*365*$H$24</f>
        <v>204.07879366589788</v>
      </c>
      <c r="K244" s="75" t="s">
        <v>168</v>
      </c>
      <c r="L244" s="75"/>
    </row>
  </sheetData>
  <mergeCells count="537">
    <mergeCell ref="B31:F31"/>
    <mergeCell ref="L115:M116"/>
    <mergeCell ref="K146:L148"/>
    <mergeCell ref="K149:L150"/>
    <mergeCell ref="K151:L152"/>
    <mergeCell ref="K158:L159"/>
    <mergeCell ref="K188:L189"/>
    <mergeCell ref="H28:I28"/>
    <mergeCell ref="K28:L28"/>
    <mergeCell ref="K15:L15"/>
    <mergeCell ref="K16:L16"/>
    <mergeCell ref="K17:L17"/>
    <mergeCell ref="K18:L18"/>
    <mergeCell ref="K19:L19"/>
    <mergeCell ref="K20:L20"/>
    <mergeCell ref="K165:L165"/>
    <mergeCell ref="K166:L166"/>
    <mergeCell ref="K167:L167"/>
    <mergeCell ref="K168:L168"/>
    <mergeCell ref="K169:L169"/>
    <mergeCell ref="K170:L170"/>
    <mergeCell ref="K171:L171"/>
    <mergeCell ref="K172:L172"/>
    <mergeCell ref="K173:L173"/>
    <mergeCell ref="L133:M133"/>
    <mergeCell ref="B32:F32"/>
    <mergeCell ref="B33:F33"/>
    <mergeCell ref="B34:F34"/>
    <mergeCell ref="H31:J31"/>
    <mergeCell ref="J32:J34"/>
    <mergeCell ref="K24:L24"/>
    <mergeCell ref="B25:F25"/>
    <mergeCell ref="H25:I25"/>
    <mergeCell ref="K25:L25"/>
    <mergeCell ref="B26:F26"/>
    <mergeCell ref="H26:I26"/>
    <mergeCell ref="K26:L26"/>
    <mergeCell ref="B27:F27"/>
    <mergeCell ref="H27:I27"/>
    <mergeCell ref="K27:L27"/>
    <mergeCell ref="B23:F23"/>
    <mergeCell ref="H23:I23"/>
    <mergeCell ref="K23:L23"/>
    <mergeCell ref="K244:L244"/>
    <mergeCell ref="K215:L215"/>
    <mergeCell ref="K190:L190"/>
    <mergeCell ref="K235:L235"/>
    <mergeCell ref="K236:L236"/>
    <mergeCell ref="K237:L237"/>
    <mergeCell ref="K238:L238"/>
    <mergeCell ref="K239:L239"/>
    <mergeCell ref="K240:L240"/>
    <mergeCell ref="K241:L241"/>
    <mergeCell ref="K242:L242"/>
    <mergeCell ref="K243:L243"/>
    <mergeCell ref="K226:L226"/>
    <mergeCell ref="K227:L227"/>
    <mergeCell ref="K228:L228"/>
    <mergeCell ref="K229:L229"/>
    <mergeCell ref="K230:L230"/>
    <mergeCell ref="K231:L231"/>
    <mergeCell ref="K232:L232"/>
    <mergeCell ref="K233:L233"/>
    <mergeCell ref="K234:L234"/>
    <mergeCell ref="K221:L221"/>
    <mergeCell ref="K218:L218"/>
    <mergeCell ref="K223:L223"/>
    <mergeCell ref="K224:L224"/>
    <mergeCell ref="K225:L225"/>
    <mergeCell ref="K199:L199"/>
    <mergeCell ref="K200:L200"/>
    <mergeCell ref="K201:L201"/>
    <mergeCell ref="K202:L202"/>
    <mergeCell ref="K203:L203"/>
    <mergeCell ref="K204:L204"/>
    <mergeCell ref="K205:L205"/>
    <mergeCell ref="K206:L206"/>
    <mergeCell ref="K207:L207"/>
    <mergeCell ref="K219:L219"/>
    <mergeCell ref="K220:L220"/>
    <mergeCell ref="K222:L222"/>
    <mergeCell ref="K197:L197"/>
    <mergeCell ref="K198:L198"/>
    <mergeCell ref="K217:L217"/>
    <mergeCell ref="K174:L174"/>
    <mergeCell ref="K175:L175"/>
    <mergeCell ref="K176:L176"/>
    <mergeCell ref="K177:L177"/>
    <mergeCell ref="K178:L178"/>
    <mergeCell ref="K179:L179"/>
    <mergeCell ref="K180:L180"/>
    <mergeCell ref="K181:L181"/>
    <mergeCell ref="K187:L187"/>
    <mergeCell ref="K208:L208"/>
    <mergeCell ref="K209:L209"/>
    <mergeCell ref="L128:M128"/>
    <mergeCell ref="L129:M129"/>
    <mergeCell ref="L130:M130"/>
    <mergeCell ref="L131:M131"/>
    <mergeCell ref="L132:M132"/>
    <mergeCell ref="K191:L191"/>
    <mergeCell ref="K192:L192"/>
    <mergeCell ref="K195:L195"/>
    <mergeCell ref="K196:L196"/>
    <mergeCell ref="D231:E231"/>
    <mergeCell ref="D232:E232"/>
    <mergeCell ref="D233:E233"/>
    <mergeCell ref="D234:E234"/>
    <mergeCell ref="D188:E188"/>
    <mergeCell ref="L117:M117"/>
    <mergeCell ref="L118:M118"/>
    <mergeCell ref="L119:M119"/>
    <mergeCell ref="L120:M120"/>
    <mergeCell ref="L121:M121"/>
    <mergeCell ref="L122:M122"/>
    <mergeCell ref="L123:M123"/>
    <mergeCell ref="K145:L145"/>
    <mergeCell ref="L134:M134"/>
    <mergeCell ref="L135:M135"/>
    <mergeCell ref="L136:M136"/>
    <mergeCell ref="L137:M137"/>
    <mergeCell ref="L138:M138"/>
    <mergeCell ref="L139:M139"/>
    <mergeCell ref="L140:M140"/>
    <mergeCell ref="L124:M124"/>
    <mergeCell ref="L125:M125"/>
    <mergeCell ref="L126:M126"/>
    <mergeCell ref="L127:M127"/>
    <mergeCell ref="D208:E208"/>
    <mergeCell ref="D199:E199"/>
    <mergeCell ref="D200:E200"/>
    <mergeCell ref="B242:C244"/>
    <mergeCell ref="D244:E244"/>
    <mergeCell ref="G244:I244"/>
    <mergeCell ref="G225:I225"/>
    <mergeCell ref="G226:I226"/>
    <mergeCell ref="G227:I227"/>
    <mergeCell ref="G228:I228"/>
    <mergeCell ref="D242:E242"/>
    <mergeCell ref="D243:E243"/>
    <mergeCell ref="G240:I240"/>
    <mergeCell ref="G241:I241"/>
    <mergeCell ref="D236:E236"/>
    <mergeCell ref="G207:I207"/>
    <mergeCell ref="D240:E240"/>
    <mergeCell ref="D241:E241"/>
    <mergeCell ref="C235:C239"/>
    <mergeCell ref="C240:C241"/>
    <mergeCell ref="B207:C209"/>
    <mergeCell ref="D209:E209"/>
    <mergeCell ref="B229:B234"/>
    <mergeCell ref="D230:E230"/>
    <mergeCell ref="G215:I215"/>
    <mergeCell ref="G208:I208"/>
    <mergeCell ref="G195:I195"/>
    <mergeCell ref="G242:I242"/>
    <mergeCell ref="G197:I197"/>
    <mergeCell ref="G239:I239"/>
    <mergeCell ref="G223:I223"/>
    <mergeCell ref="D189:E189"/>
    <mergeCell ref="B191:C192"/>
    <mergeCell ref="D191:E191"/>
    <mergeCell ref="D192:E192"/>
    <mergeCell ref="D197:E197"/>
    <mergeCell ref="D198:E198"/>
    <mergeCell ref="B195:C198"/>
    <mergeCell ref="D235:E235"/>
    <mergeCell ref="B199:B201"/>
    <mergeCell ref="B202:B206"/>
    <mergeCell ref="B235:B241"/>
    <mergeCell ref="D207:E207"/>
    <mergeCell ref="D195:E195"/>
    <mergeCell ref="D196:E196"/>
    <mergeCell ref="D218:E218"/>
    <mergeCell ref="B215:E215"/>
    <mergeCell ref="G209:I209"/>
    <mergeCell ref="G243:I243"/>
    <mergeCell ref="G229:I229"/>
    <mergeCell ref="G230:I230"/>
    <mergeCell ref="G231:I231"/>
    <mergeCell ref="G232:I232"/>
    <mergeCell ref="G233:I233"/>
    <mergeCell ref="G234:I234"/>
    <mergeCell ref="G235:I235"/>
    <mergeCell ref="G236:I236"/>
    <mergeCell ref="G237:I237"/>
    <mergeCell ref="G238:I238"/>
    <mergeCell ref="B190:E190"/>
    <mergeCell ref="B188:C189"/>
    <mergeCell ref="G166:I166"/>
    <mergeCell ref="G146:I146"/>
    <mergeCell ref="G147:I147"/>
    <mergeCell ref="G148:I148"/>
    <mergeCell ref="G119:I119"/>
    <mergeCell ref="G190:I190"/>
    <mergeCell ref="G117:I117"/>
    <mergeCell ref="G160:I160"/>
    <mergeCell ref="G196:I196"/>
    <mergeCell ref="G199:I199"/>
    <mergeCell ref="G200:I200"/>
    <mergeCell ref="G201:I201"/>
    <mergeCell ref="G202:I202"/>
    <mergeCell ref="G203:I203"/>
    <mergeCell ref="G204:I204"/>
    <mergeCell ref="G198:I198"/>
    <mergeCell ref="D201:E201"/>
    <mergeCell ref="D202:E202"/>
    <mergeCell ref="G205:I205"/>
    <mergeCell ref="G206:I206"/>
    <mergeCell ref="D203:E203"/>
    <mergeCell ref="D204:E204"/>
    <mergeCell ref="D205:E205"/>
    <mergeCell ref="D206:E206"/>
    <mergeCell ref="C199:C200"/>
    <mergeCell ref="C202:C204"/>
    <mergeCell ref="C205:C206"/>
    <mergeCell ref="G188:I188"/>
    <mergeCell ref="D179:E179"/>
    <mergeCell ref="D181:E181"/>
    <mergeCell ref="B187:E187"/>
    <mergeCell ref="G181:I181"/>
    <mergeCell ref="D180:E180"/>
    <mergeCell ref="G180:I180"/>
    <mergeCell ref="B179:C181"/>
    <mergeCell ref="B158:E159"/>
    <mergeCell ref="G158:I159"/>
    <mergeCell ref="B157:E157"/>
    <mergeCell ref="G163:I163"/>
    <mergeCell ref="G167:I167"/>
    <mergeCell ref="G168:I168"/>
    <mergeCell ref="G169:I169"/>
    <mergeCell ref="G161:I161"/>
    <mergeCell ref="G162:I162"/>
    <mergeCell ref="G157:I157"/>
    <mergeCell ref="G164:I164"/>
    <mergeCell ref="G165:I165"/>
    <mergeCell ref="F146:F181"/>
    <mergeCell ref="G179:I179"/>
    <mergeCell ref="B172:B173"/>
    <mergeCell ref="B174:B178"/>
    <mergeCell ref="G150:I150"/>
    <mergeCell ref="G151:I151"/>
    <mergeCell ref="G173:I173"/>
    <mergeCell ref="G174:I174"/>
    <mergeCell ref="G175:I175"/>
    <mergeCell ref="G176:I176"/>
    <mergeCell ref="G178:I178"/>
    <mergeCell ref="G172:I172"/>
    <mergeCell ref="G177:I177"/>
    <mergeCell ref="B164:B171"/>
    <mergeCell ref="A125:A140"/>
    <mergeCell ref="F135:F137"/>
    <mergeCell ref="F138:F140"/>
    <mergeCell ref="A146:A163"/>
    <mergeCell ref="B160:C163"/>
    <mergeCell ref="D160:E160"/>
    <mergeCell ref="A164:A181"/>
    <mergeCell ref="D137:E137"/>
    <mergeCell ref="D138:E138"/>
    <mergeCell ref="D139:E139"/>
    <mergeCell ref="D161:E161"/>
    <mergeCell ref="D162:E162"/>
    <mergeCell ref="D163:E163"/>
    <mergeCell ref="D140:E140"/>
    <mergeCell ref="B146:B147"/>
    <mergeCell ref="B148:B150"/>
    <mergeCell ref="C146:E146"/>
    <mergeCell ref="C147:E147"/>
    <mergeCell ref="C148:E148"/>
    <mergeCell ref="C149:E149"/>
    <mergeCell ref="C150:E150"/>
    <mergeCell ref="B151:E151"/>
    <mergeCell ref="B153:E154"/>
    <mergeCell ref="C164:D168"/>
    <mergeCell ref="G132:I132"/>
    <mergeCell ref="G129:I129"/>
    <mergeCell ref="D130:E130"/>
    <mergeCell ref="G130:I130"/>
    <mergeCell ref="B129:C130"/>
    <mergeCell ref="D129:E129"/>
    <mergeCell ref="G140:I140"/>
    <mergeCell ref="G139:I139"/>
    <mergeCell ref="B135:B140"/>
    <mergeCell ref="C135:C137"/>
    <mergeCell ref="C138:C140"/>
    <mergeCell ref="D135:E135"/>
    <mergeCell ref="D136:E136"/>
    <mergeCell ref="G137:I137"/>
    <mergeCell ref="G138:I138"/>
    <mergeCell ref="B117:B124"/>
    <mergeCell ref="C117:C120"/>
    <mergeCell ref="C121:C124"/>
    <mergeCell ref="D119:E119"/>
    <mergeCell ref="D117:E117"/>
    <mergeCell ref="D118:E118"/>
    <mergeCell ref="D120:E120"/>
    <mergeCell ref="G170:I170"/>
    <mergeCell ref="G171:I171"/>
    <mergeCell ref="G136:I136"/>
    <mergeCell ref="G149:I149"/>
    <mergeCell ref="G135:I135"/>
    <mergeCell ref="B145:E145"/>
    <mergeCell ref="G145:I145"/>
    <mergeCell ref="B133:C134"/>
    <mergeCell ref="D133:E133"/>
    <mergeCell ref="G133:I133"/>
    <mergeCell ref="D134:E134"/>
    <mergeCell ref="G134:I134"/>
    <mergeCell ref="F125:F134"/>
    <mergeCell ref="B131:C132"/>
    <mergeCell ref="D131:E131"/>
    <mergeCell ref="G131:I131"/>
    <mergeCell ref="D132:E132"/>
    <mergeCell ref="G126:I126"/>
    <mergeCell ref="D127:E127"/>
    <mergeCell ref="G127:I127"/>
    <mergeCell ref="D128:E128"/>
    <mergeCell ref="G128:I128"/>
    <mergeCell ref="G123:I123"/>
    <mergeCell ref="G122:I122"/>
    <mergeCell ref="D124:E124"/>
    <mergeCell ref="D123:E123"/>
    <mergeCell ref="B3:F3"/>
    <mergeCell ref="B9:F9"/>
    <mergeCell ref="B11:F11"/>
    <mergeCell ref="B37:F37"/>
    <mergeCell ref="B38:B42"/>
    <mergeCell ref="C38:C40"/>
    <mergeCell ref="C41:C42"/>
    <mergeCell ref="G103:I103"/>
    <mergeCell ref="G104:I104"/>
    <mergeCell ref="H9:I9"/>
    <mergeCell ref="B14:F14"/>
    <mergeCell ref="B15:F15"/>
    <mergeCell ref="B16:F16"/>
    <mergeCell ref="B17:F17"/>
    <mergeCell ref="B18:F18"/>
    <mergeCell ref="B19:F19"/>
    <mergeCell ref="B20:F20"/>
    <mergeCell ref="H20:I20"/>
    <mergeCell ref="H15:I15"/>
    <mergeCell ref="H16:I16"/>
    <mergeCell ref="H17:I17"/>
    <mergeCell ref="H18:I18"/>
    <mergeCell ref="H19:I19"/>
    <mergeCell ref="B24:F24"/>
    <mergeCell ref="B102:E102"/>
    <mergeCell ref="G102:I102"/>
    <mergeCell ref="B103:B106"/>
    <mergeCell ref="C103:D104"/>
    <mergeCell ref="G77:H77"/>
    <mergeCell ref="B4:F4"/>
    <mergeCell ref="B8:F8"/>
    <mergeCell ref="B7:F7"/>
    <mergeCell ref="A10:A12"/>
    <mergeCell ref="C105:D106"/>
    <mergeCell ref="G105:I105"/>
    <mergeCell ref="G106:I106"/>
    <mergeCell ref="A103:A124"/>
    <mergeCell ref="G121:I121"/>
    <mergeCell ref="G124:I124"/>
    <mergeCell ref="G120:I120"/>
    <mergeCell ref="G118:I118"/>
    <mergeCell ref="B111:D112"/>
    <mergeCell ref="G111:I111"/>
    <mergeCell ref="G112:I112"/>
    <mergeCell ref="B115:D116"/>
    <mergeCell ref="G115:I115"/>
    <mergeCell ref="G116:I116"/>
    <mergeCell ref="G108:I108"/>
    <mergeCell ref="D86:E86"/>
    <mergeCell ref="D87:E87"/>
    <mergeCell ref="B80:C83"/>
    <mergeCell ref="D80:E80"/>
    <mergeCell ref="D81:E81"/>
    <mergeCell ref="D82:E82"/>
    <mergeCell ref="D83:E83"/>
    <mergeCell ref="H8:I8"/>
    <mergeCell ref="G76:H76"/>
    <mergeCell ref="G79:H79"/>
    <mergeCell ref="G80:H80"/>
    <mergeCell ref="G81:H81"/>
    <mergeCell ref="G82:H82"/>
    <mergeCell ref="B10:F10"/>
    <mergeCell ref="B12:F12"/>
    <mergeCell ref="H40:I40"/>
    <mergeCell ref="H41:I41"/>
    <mergeCell ref="H42:I42"/>
    <mergeCell ref="D76:E76"/>
    <mergeCell ref="D77:E77"/>
    <mergeCell ref="D78:E78"/>
    <mergeCell ref="D79:E79"/>
    <mergeCell ref="H24:I24"/>
    <mergeCell ref="B28:F28"/>
    <mergeCell ref="A188:A198"/>
    <mergeCell ref="A199:A209"/>
    <mergeCell ref="G83:H83"/>
    <mergeCell ref="G84:H84"/>
    <mergeCell ref="G85:H85"/>
    <mergeCell ref="G86:H86"/>
    <mergeCell ref="G87:H87"/>
    <mergeCell ref="G88:H88"/>
    <mergeCell ref="G89:H89"/>
    <mergeCell ref="G90:H90"/>
    <mergeCell ref="G91:H91"/>
    <mergeCell ref="B91:C93"/>
    <mergeCell ref="D91:E91"/>
    <mergeCell ref="D92:E92"/>
    <mergeCell ref="D93:E93"/>
    <mergeCell ref="B94:C96"/>
    <mergeCell ref="D94:E94"/>
    <mergeCell ref="D95:E95"/>
    <mergeCell ref="D96:E96"/>
    <mergeCell ref="F94:F96"/>
    <mergeCell ref="F91:F93"/>
    <mergeCell ref="D88:E88"/>
    <mergeCell ref="D89:E89"/>
    <mergeCell ref="D90:E90"/>
    <mergeCell ref="J38:J42"/>
    <mergeCell ref="A3:A9"/>
    <mergeCell ref="H3:I3"/>
    <mergeCell ref="G38:G42"/>
    <mergeCell ref="H7:I7"/>
    <mergeCell ref="B5:C6"/>
    <mergeCell ref="D5:F5"/>
    <mergeCell ref="D6:F6"/>
    <mergeCell ref="G92:H92"/>
    <mergeCell ref="H38:I38"/>
    <mergeCell ref="H37:I37"/>
    <mergeCell ref="H11:I11"/>
    <mergeCell ref="A76:A87"/>
    <mergeCell ref="A88:A96"/>
    <mergeCell ref="B76:C79"/>
    <mergeCell ref="B88:C90"/>
    <mergeCell ref="F76:F79"/>
    <mergeCell ref="F80:F83"/>
    <mergeCell ref="F84:F87"/>
    <mergeCell ref="F88:F90"/>
    <mergeCell ref="G78:H78"/>
    <mergeCell ref="B84:C87"/>
    <mergeCell ref="D84:E84"/>
    <mergeCell ref="D85:E85"/>
    <mergeCell ref="H39:I39"/>
    <mergeCell ref="H12:I12"/>
    <mergeCell ref="H10:I10"/>
    <mergeCell ref="H4:I4"/>
    <mergeCell ref="H5:I5"/>
    <mergeCell ref="H6:I6"/>
    <mergeCell ref="G94:H94"/>
    <mergeCell ref="G95:H95"/>
    <mergeCell ref="G96:H96"/>
    <mergeCell ref="G93:H93"/>
    <mergeCell ref="K8:L8"/>
    <mergeCell ref="K3:L3"/>
    <mergeCell ref="K4:L4"/>
    <mergeCell ref="K5:L5"/>
    <mergeCell ref="K6:L6"/>
    <mergeCell ref="L103:M108"/>
    <mergeCell ref="L109:M110"/>
    <mergeCell ref="L102:M102"/>
    <mergeCell ref="K10:L10"/>
    <mergeCell ref="K11:L11"/>
    <mergeCell ref="K7:L7"/>
    <mergeCell ref="K9:L9"/>
    <mergeCell ref="K12:L12"/>
    <mergeCell ref="L111:M114"/>
    <mergeCell ref="B152:E152"/>
    <mergeCell ref="B155:E156"/>
    <mergeCell ref="G152:I152"/>
    <mergeCell ref="J155:J156"/>
    <mergeCell ref="F103:F116"/>
    <mergeCell ref="B113:D114"/>
    <mergeCell ref="G113:I113"/>
    <mergeCell ref="G114:I114"/>
    <mergeCell ref="F117:F120"/>
    <mergeCell ref="D121:E121"/>
    <mergeCell ref="D122:E122"/>
    <mergeCell ref="B107:B110"/>
    <mergeCell ref="C107:D108"/>
    <mergeCell ref="C109:D109"/>
    <mergeCell ref="C110:D110"/>
    <mergeCell ref="F121:F124"/>
    <mergeCell ref="B125:C128"/>
    <mergeCell ref="D125:E125"/>
    <mergeCell ref="G125:I125"/>
    <mergeCell ref="D126:E126"/>
    <mergeCell ref="G107:I107"/>
    <mergeCell ref="G109:I109"/>
    <mergeCell ref="G110:I110"/>
    <mergeCell ref="K153:L156"/>
    <mergeCell ref="D217:E217"/>
    <mergeCell ref="G193:I194"/>
    <mergeCell ref="J193:J194"/>
    <mergeCell ref="G191:I192"/>
    <mergeCell ref="B193:E194"/>
    <mergeCell ref="K193:L194"/>
    <mergeCell ref="G153:I156"/>
    <mergeCell ref="D216:E216"/>
    <mergeCell ref="K216:L216"/>
    <mergeCell ref="F188:F209"/>
    <mergeCell ref="K162:L162"/>
    <mergeCell ref="K163:L163"/>
    <mergeCell ref="K164:L164"/>
    <mergeCell ref="G189:I189"/>
    <mergeCell ref="C172:D173"/>
    <mergeCell ref="C174:D175"/>
    <mergeCell ref="C169:D171"/>
    <mergeCell ref="C176:D178"/>
    <mergeCell ref="G187:I187"/>
    <mergeCell ref="K157:L157"/>
    <mergeCell ref="K160:L160"/>
    <mergeCell ref="K161:L161"/>
    <mergeCell ref="J153:J154"/>
    <mergeCell ref="N3:N29"/>
    <mergeCell ref="A216:A228"/>
    <mergeCell ref="B216:B223"/>
    <mergeCell ref="C224:E224"/>
    <mergeCell ref="C223:E223"/>
    <mergeCell ref="C216:C220"/>
    <mergeCell ref="D219:D220"/>
    <mergeCell ref="F216:F244"/>
    <mergeCell ref="G216:I220"/>
    <mergeCell ref="C221:D222"/>
    <mergeCell ref="G221:I222"/>
    <mergeCell ref="A229:A244"/>
    <mergeCell ref="D237:E237"/>
    <mergeCell ref="D238:E238"/>
    <mergeCell ref="D239:E239"/>
    <mergeCell ref="D229:E229"/>
    <mergeCell ref="C229:C233"/>
    <mergeCell ref="G224:I224"/>
    <mergeCell ref="B225:C228"/>
    <mergeCell ref="D225:E225"/>
    <mergeCell ref="D226:E226"/>
    <mergeCell ref="D227:E227"/>
    <mergeCell ref="D228:E228"/>
    <mergeCell ref="J158:J159"/>
  </mergeCells>
  <phoneticPr fontId="1"/>
  <pageMargins left="0.7" right="0.7" top="0.75" bottom="0.75" header="0.3" footer="0.3"/>
  <pageSetup paperSize="8" fitToHeight="0" orientation="landscape" r:id="rId1"/>
  <rowBreaks count="6" manualBreakCount="6">
    <brk id="43" max="16383" man="1"/>
    <brk id="72" max="16383" man="1"/>
    <brk id="98" max="16383" man="1"/>
    <brk id="141" max="16383" man="1"/>
    <brk id="183" max="16383" man="1"/>
    <brk id="21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効果算定シート</vt:lpstr>
      <vt:lpstr>効果算定シート!Print_Area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宮本 博司[Hiroshi_MIYAMOTO]</cp:lastModifiedBy>
  <cp:lastPrinted>2021-03-18T16:55:26Z</cp:lastPrinted>
  <dcterms:created xsi:type="dcterms:W3CDTF">2019-11-05T05:23:18Z</dcterms:created>
  <dcterms:modified xsi:type="dcterms:W3CDTF">2021-03-18T17:22:45Z</dcterms:modified>
</cp:coreProperties>
</file>