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10.194.52.158\下水道研究部共有\03処理研\★★元HDD【暫定版】\共通\★脱炭素\★エネルギー分科会\★令和4以降の取組\R4分科会\ツール関連\R4の取り組み\2030年目標設定ツール\★下水道部HP用\HP添付ファイル\"/>
    </mc:Choice>
  </mc:AlternateContent>
  <xr:revisionPtr revIDLastSave="0" documentId="13_ncr:1_{BBF09D4B-1410-4DB4-BF13-BDE643DE417C}" xr6:coauthVersionLast="47" xr6:coauthVersionMax="47" xr10:uidLastSave="{00000000-0000-0000-0000-000000000000}"/>
  <bookViews>
    <workbookView xWindow="-28920" yWindow="-12345" windowWidth="29040" windowHeight="15720" tabRatio="824" xr2:uid="{3F2C5A66-3D6B-4323-8DE9-ABB76093B507}"/>
  </bookViews>
  <sheets>
    <sheet name="互換性の確認" sheetId="39" r:id="rId1"/>
    <sheet name="選択肢リスト" sheetId="4" r:id="rId2"/>
    <sheet name="ツール入力シート" sheetId="3" r:id="rId3"/>
    <sheet name="水処理対策シート" sheetId="11" r:id="rId4"/>
    <sheet name="汚泥処理対策シート" sheetId="12" r:id="rId5"/>
    <sheet name="追加対策シート" sheetId="13" r:id="rId6"/>
    <sheet name="対策後の結果の出力" sheetId="28" r:id="rId7"/>
    <sheet name="水処理対策No.1" sheetId="10" r:id="rId8"/>
    <sheet name="水処理対策No.2" sheetId="14" r:id="rId9"/>
    <sheet name="水処理対策No.3" sheetId="16" r:id="rId10"/>
    <sheet name="水処理対策No.4" sheetId="17" r:id="rId11"/>
    <sheet name="水処理対策No.5" sheetId="22" r:id="rId12"/>
    <sheet name="水処理対策No.6" sheetId="15" r:id="rId13"/>
    <sheet name="水処理対策No.7" sheetId="23" r:id="rId14"/>
    <sheet name="水処理対策No.8" sheetId="24" r:id="rId15"/>
    <sheet name="水処理対策No.9" sheetId="25" r:id="rId16"/>
    <sheet name="汚泥処理対策No.1" sheetId="18" r:id="rId17"/>
    <sheet name="汚泥処理対策No.2" sheetId="20" r:id="rId18"/>
    <sheet name="汚泥処理対策No.3" sheetId="21" r:id="rId19"/>
    <sheet name="汚泥処理対策No.4" sheetId="35" r:id="rId20"/>
    <sheet name="汚泥処理対策No.5" sheetId="29" r:id="rId21"/>
    <sheet name="汚泥処理対策No.6" sheetId="30" r:id="rId22"/>
    <sheet name="汚泥処理対策No.7" sheetId="36" r:id="rId23"/>
    <sheet name="汚泥処理対策No.8" sheetId="38" r:id="rId24"/>
    <sheet name="汚泥処理対策No.9" sheetId="37" r:id="rId25"/>
  </sheets>
  <definedNames>
    <definedName name="_1a1_">#REF!</definedName>
    <definedName name="_Fill" hidden="1">#REF!</definedName>
    <definedName name="_xlnm._FilterDatabase" localSheetId="2" hidden="1">ツール入力シート!#REF!</definedName>
    <definedName name="_xlnm._FilterDatabase" localSheetId="5" hidden="1">追加対策シート!$B$6:$F$7</definedName>
    <definedName name="_Hlk130405739" localSheetId="5">追加対策シート!$B$32</definedName>
    <definedName name="_Hlk130413781" localSheetId="5">追加対策シート!$B$33</definedName>
    <definedName name="AUTOEXEC">#REF!</definedName>
    <definedName name="CodeTo規模">#REF!</definedName>
    <definedName name="CODEto県">#REF!</definedName>
    <definedName name="END">#REF!</definedName>
    <definedName name="_xlnm.Print_Area" localSheetId="2">ツール入力シート!$A$1:$V$122</definedName>
    <definedName name="_xlnm.Print_Area" localSheetId="20">汚泥処理対策No.5!$A$1:$M$146</definedName>
    <definedName name="_xlnm.Print_Area" localSheetId="21">汚泥処理対策No.6!$A$1:$M$168</definedName>
    <definedName name="_xlnm.Print_Area" localSheetId="22">汚泥処理対策No.7!$A$1:$N$126</definedName>
    <definedName name="_xlnm.Print_Area" localSheetId="24">汚泥処理対策No.9!$A$36:$N$280</definedName>
    <definedName name="SCROL">#REF!</definedName>
    <definedName name="あ">#REF!</definedName>
    <definedName name="休止">#REF!</definedName>
    <definedName name="県toCODE">#REF!</definedName>
    <definedName name="集約方式">#REF!</definedName>
    <definedName name="処理方式選択肢">#REF!</definedName>
    <definedName name="処理方式大分類">#REF!</definedName>
    <definedName name="焼却炉区分">#REF!</definedName>
    <definedName name="焼却炉区分H25">#REF!</definedName>
    <definedName name="団体等">#REF!</definedName>
    <definedName name="都市規模">#REF!</definedName>
    <definedName name="廃止">#REF!</definedName>
    <definedName name="溶融炉区分">#REF!</definedName>
    <definedName name="溶融炉区分H25">#REF!</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4" i="36" l="1"/>
  <c r="H162" i="30"/>
  <c r="H148" i="30"/>
  <c r="H145" i="30"/>
  <c r="H147" i="30" s="1"/>
  <c r="D33" i="30" l="1"/>
  <c r="H143" i="29"/>
  <c r="H134" i="29"/>
  <c r="D14" i="24"/>
  <c r="D16" i="24" s="1"/>
  <c r="D18" i="24" s="1"/>
  <c r="D36" i="30" l="1"/>
  <c r="D38" i="30" s="1"/>
  <c r="H159" i="30" s="1"/>
  <c r="H161" i="30" s="1"/>
  <c r="H150" i="30"/>
  <c r="H152" i="30"/>
  <c r="D13" i="38" l="1"/>
  <c r="D13" i="10"/>
  <c r="F9" i="13"/>
  <c r="F10" i="13"/>
  <c r="F11" i="13"/>
  <c r="F12" i="13"/>
  <c r="F13" i="13"/>
  <c r="F14" i="13"/>
  <c r="F15" i="13"/>
  <c r="F16" i="13"/>
  <c r="F17" i="13"/>
  <c r="F18" i="13"/>
  <c r="F19" i="13"/>
  <c r="F20" i="13"/>
  <c r="F21" i="13"/>
  <c r="F22" i="13"/>
  <c r="F23" i="13"/>
  <c r="F24" i="13"/>
  <c r="F25" i="13"/>
  <c r="F26" i="13"/>
  <c r="F27" i="13"/>
  <c r="J16" i="12"/>
  <c r="J15" i="12"/>
  <c r="I16" i="12"/>
  <c r="K16" i="12" s="1"/>
  <c r="I15" i="12"/>
  <c r="K15" i="12" s="1"/>
  <c r="I14" i="12"/>
  <c r="I13" i="12"/>
  <c r="I12" i="12"/>
  <c r="I11" i="12"/>
  <c r="J16" i="11"/>
  <c r="J15" i="11"/>
  <c r="J14" i="11"/>
  <c r="J9" i="11"/>
  <c r="I16" i="11"/>
  <c r="K16" i="11" s="1"/>
  <c r="I15" i="11"/>
  <c r="K15" i="11" s="1"/>
  <c r="I14" i="11"/>
  <c r="K14" i="11" s="1"/>
  <c r="I9" i="11"/>
  <c r="K9" i="11" s="1"/>
  <c r="C22" i="38"/>
  <c r="E58" i="28" l="1"/>
  <c r="E57" i="28"/>
  <c r="E63" i="28"/>
  <c r="B63" i="28"/>
  <c r="B53" i="28"/>
  <c r="B43" i="28"/>
  <c r="E64" i="28"/>
  <c r="E65" i="28"/>
  <c r="E66" i="28"/>
  <c r="E67" i="28"/>
  <c r="E68" i="28"/>
  <c r="E69" i="28"/>
  <c r="E70" i="28"/>
  <c r="E71" i="28"/>
  <c r="E72" i="28"/>
  <c r="E73" i="28"/>
  <c r="E74" i="28"/>
  <c r="E75" i="28"/>
  <c r="E76" i="28"/>
  <c r="E77" i="28"/>
  <c r="E78" i="28"/>
  <c r="E79" i="28"/>
  <c r="E80" i="28"/>
  <c r="E81" i="28"/>
  <c r="E82" i="28"/>
  <c r="E60" i="28"/>
  <c r="F60" i="28" s="1"/>
  <c r="E61" i="28"/>
  <c r="F61" i="28" s="1"/>
  <c r="E44" i="28"/>
  <c r="F44" i="28" s="1"/>
  <c r="E49" i="28"/>
  <c r="F49" i="28" s="1"/>
  <c r="E51" i="28"/>
  <c r="F51" i="28" s="1"/>
  <c r="B80" i="28"/>
  <c r="B81" i="28"/>
  <c r="B82" i="28"/>
  <c r="B64" i="28"/>
  <c r="B65" i="28"/>
  <c r="B66" i="28"/>
  <c r="B67" i="28"/>
  <c r="B68" i="28"/>
  <c r="B69" i="28"/>
  <c r="B70" i="28"/>
  <c r="B71" i="28"/>
  <c r="B72" i="28"/>
  <c r="B73" i="28"/>
  <c r="B74" i="28"/>
  <c r="B75" i="28"/>
  <c r="B76" i="28"/>
  <c r="B77" i="28"/>
  <c r="B78" i="28"/>
  <c r="B79" i="28"/>
  <c r="B60" i="28"/>
  <c r="B61" i="28"/>
  <c r="B56" i="28"/>
  <c r="B57" i="28"/>
  <c r="B58" i="28"/>
  <c r="B59" i="28"/>
  <c r="B54" i="28"/>
  <c r="B55" i="28"/>
  <c r="B44" i="28"/>
  <c r="B45" i="28"/>
  <c r="B46" i="28"/>
  <c r="B47" i="28"/>
  <c r="B48" i="28"/>
  <c r="B49" i="28"/>
  <c r="B50" i="28"/>
  <c r="B51" i="28"/>
  <c r="L143" i="29"/>
  <c r="E9" i="13"/>
  <c r="E10" i="13"/>
  <c r="E11" i="13"/>
  <c r="E12" i="13"/>
  <c r="E13" i="13"/>
  <c r="E14" i="13"/>
  <c r="E15" i="13"/>
  <c r="E16" i="13"/>
  <c r="E17" i="13"/>
  <c r="E18" i="13"/>
  <c r="E19" i="13"/>
  <c r="E20" i="13"/>
  <c r="E21" i="13"/>
  <c r="E22" i="13"/>
  <c r="E23" i="13"/>
  <c r="E24" i="13"/>
  <c r="E25" i="13"/>
  <c r="E26" i="13"/>
  <c r="E27" i="13"/>
  <c r="D28" i="13" l="1"/>
  <c r="E56" i="28" l="1"/>
  <c r="G23" i="3"/>
  <c r="J53" i="3" l="1"/>
  <c r="J52" i="3"/>
  <c r="J51" i="3"/>
  <c r="J50" i="3"/>
  <c r="J35" i="3"/>
  <c r="J34" i="3"/>
  <c r="J33" i="3"/>
  <c r="J32" i="3"/>
  <c r="C61" i="3" l="1"/>
  <c r="I61" i="3" s="1"/>
  <c r="D65" i="3" s="1"/>
  <c r="J49" i="3"/>
  <c r="J48" i="3"/>
  <c r="J47" i="3"/>
  <c r="J46" i="3"/>
  <c r="J45" i="3"/>
  <c r="J44" i="3"/>
  <c r="J43" i="3"/>
  <c r="J42" i="3"/>
  <c r="G41" i="3"/>
  <c r="J41" i="3" s="1"/>
  <c r="J31" i="3"/>
  <c r="J30" i="3"/>
  <c r="J29" i="3"/>
  <c r="J28" i="3"/>
  <c r="J27" i="3"/>
  <c r="J26" i="3"/>
  <c r="J25" i="3"/>
  <c r="J24" i="3"/>
  <c r="J23" i="3"/>
  <c r="D12" i="3"/>
  <c r="C14" i="3" s="1"/>
  <c r="D22" i="38"/>
  <c r="D14" i="38"/>
  <c r="D15" i="38" s="1"/>
  <c r="J275" i="37"/>
  <c r="J271" i="37"/>
  <c r="J265" i="37"/>
  <c r="J241" i="37"/>
  <c r="J239" i="37"/>
  <c r="J224" i="37"/>
  <c r="J252" i="37" s="1"/>
  <c r="J223" i="37"/>
  <c r="J213" i="37"/>
  <c r="J212" i="37"/>
  <c r="J211" i="37"/>
  <c r="J205" i="37"/>
  <c r="J203" i="37"/>
  <c r="J182" i="37"/>
  <c r="J181" i="37"/>
  <c r="J167" i="37"/>
  <c r="K167" i="37" s="1"/>
  <c r="J166" i="37"/>
  <c r="K166" i="37" s="1"/>
  <c r="J141" i="37"/>
  <c r="J140" i="37"/>
  <c r="K140" i="37" s="1"/>
  <c r="J139" i="37"/>
  <c r="K139" i="37" s="1"/>
  <c r="J138" i="37"/>
  <c r="K138" i="37" s="1"/>
  <c r="H45" i="37"/>
  <c r="J276" i="37" s="1"/>
  <c r="H39" i="37"/>
  <c r="J228" i="37" s="1"/>
  <c r="D63" i="3" l="1"/>
  <c r="J36" i="3"/>
  <c r="J37" i="3" s="1"/>
  <c r="J54" i="3"/>
  <c r="H41" i="37"/>
  <c r="J257" i="37" s="1"/>
  <c r="H44" i="37"/>
  <c r="J192" i="37" s="1"/>
  <c r="H40" i="37"/>
  <c r="J256" i="37" s="1"/>
  <c r="J161" i="37"/>
  <c r="K161" i="37" s="1"/>
  <c r="H42" i="37"/>
  <c r="J144" i="37" s="1"/>
  <c r="K144" i="37" s="1"/>
  <c r="J270" i="37"/>
  <c r="J269" i="37"/>
  <c r="J200" i="37"/>
  <c r="H43" i="37"/>
  <c r="J145" i="37" s="1"/>
  <c r="K145" i="37" s="1"/>
  <c r="J142" i="37"/>
  <c r="K142" i="37" s="1"/>
  <c r="J201" i="37"/>
  <c r="J259" i="37"/>
  <c r="J162" i="37"/>
  <c r="K162" i="37" s="1"/>
  <c r="J183" i="37"/>
  <c r="J193" i="37"/>
  <c r="J202" i="37"/>
  <c r="H46" i="37"/>
  <c r="J225" i="37"/>
  <c r="J234" i="37"/>
  <c r="J244" i="37" s="1"/>
  <c r="J279" i="37" s="1"/>
  <c r="J264" i="37"/>
  <c r="J272" i="37"/>
  <c r="H47" i="37"/>
  <c r="J143" i="37"/>
  <c r="K143" i="37" s="1"/>
  <c r="J163" i="37"/>
  <c r="K163" i="37" s="1"/>
  <c r="J273" i="37"/>
  <c r="J258" i="37"/>
  <c r="J266" i="37"/>
  <c r="J274" i="37"/>
  <c r="K141" i="37"/>
  <c r="J160" i="37"/>
  <c r="J237" i="37"/>
  <c r="J251" i="37"/>
  <c r="J267" i="37"/>
  <c r="J199" i="37"/>
  <c r="J268" i="37"/>
  <c r="J55" i="3" l="1"/>
  <c r="C80" i="3" s="1"/>
  <c r="C65" i="3"/>
  <c r="E65" i="3"/>
  <c r="C79" i="3"/>
  <c r="C4" i="28" s="1"/>
  <c r="J187" i="37"/>
  <c r="J150" i="37"/>
  <c r="K150" i="37" s="1"/>
  <c r="J185" i="37"/>
  <c r="J151" i="37"/>
  <c r="K151" i="37" s="1"/>
  <c r="J184" i="37"/>
  <c r="J227" i="37"/>
  <c r="J255" i="37" s="1"/>
  <c r="J148" i="37"/>
  <c r="K148" i="37" s="1"/>
  <c r="J186" i="37"/>
  <c r="J278" i="37"/>
  <c r="G130" i="37" s="1"/>
  <c r="J277" i="37"/>
  <c r="G129" i="37" s="1"/>
  <c r="K159" i="37"/>
  <c r="G128" i="37"/>
  <c r="G131" i="37"/>
  <c r="J147" i="37"/>
  <c r="K147" i="37" s="1"/>
  <c r="J253" i="37"/>
  <c r="J263" i="37" s="1"/>
  <c r="G122" i="37" s="1"/>
  <c r="K160" i="37"/>
  <c r="J172" i="37"/>
  <c r="J216" i="37"/>
  <c r="J226" i="37"/>
  <c r="J146" i="37"/>
  <c r="J208" i="37"/>
  <c r="J165" i="37"/>
  <c r="K165" i="37" s="1"/>
  <c r="J238" i="37"/>
  <c r="J207" i="37"/>
  <c r="J206" i="37"/>
  <c r="J168" i="37"/>
  <c r="J164" i="37"/>
  <c r="K164" i="37" s="1"/>
  <c r="J169" i="37"/>
  <c r="K169" i="37" s="1"/>
  <c r="J236" i="37"/>
  <c r="J235" i="37"/>
  <c r="J204" i="37"/>
  <c r="J240" i="37"/>
  <c r="J209" i="37"/>
  <c r="J210" i="37"/>
  <c r="J190" i="37"/>
  <c r="J149" i="37"/>
  <c r="K149" i="37" s="1"/>
  <c r="J155" i="37"/>
  <c r="J233" i="37"/>
  <c r="G118" i="37" s="1"/>
  <c r="J188" i="37"/>
  <c r="C5" i="28" l="1"/>
  <c r="E80" i="3"/>
  <c r="G65" i="3"/>
  <c r="C81" i="3" s="1"/>
  <c r="E8" i="13"/>
  <c r="F8" i="13" s="1"/>
  <c r="E28" i="13"/>
  <c r="F28" i="13" s="1"/>
  <c r="D5" i="28"/>
  <c r="C74" i="3"/>
  <c r="D74" i="3" s="1"/>
  <c r="E74" i="3" s="1"/>
  <c r="F74" i="3" s="1"/>
  <c r="G74" i="3" s="1"/>
  <c r="H74" i="3" s="1"/>
  <c r="I74" i="3" s="1"/>
  <c r="J74" i="3" s="1"/>
  <c r="K74" i="3" s="1"/>
  <c r="L74" i="3" s="1"/>
  <c r="M74" i="3" s="1"/>
  <c r="N74" i="3" s="1"/>
  <c r="O74" i="3" s="1"/>
  <c r="P74" i="3" s="1"/>
  <c r="Q74" i="3" s="1"/>
  <c r="R74" i="3" s="1"/>
  <c r="S74" i="3" s="1"/>
  <c r="T74" i="3" s="1"/>
  <c r="C82" i="3" s="1"/>
  <c r="B111" i="3"/>
  <c r="E79" i="3"/>
  <c r="J195" i="37"/>
  <c r="J198" i="37"/>
  <c r="G114" i="37" s="1"/>
  <c r="J243" i="37"/>
  <c r="G127" i="37" s="1"/>
  <c r="J196" i="37"/>
  <c r="J261" i="37"/>
  <c r="G120" i="37" s="1"/>
  <c r="J262" i="37"/>
  <c r="G121" i="37" s="1"/>
  <c r="J214" i="37"/>
  <c r="J232" i="37"/>
  <c r="G117" i="37" s="1"/>
  <c r="J197" i="37"/>
  <c r="J231" i="37"/>
  <c r="G116" i="37" s="1"/>
  <c r="K158" i="37"/>
  <c r="J242" i="37"/>
  <c r="G126" i="37" s="1"/>
  <c r="J254" i="37"/>
  <c r="J260" i="37" s="1"/>
  <c r="G119" i="37" s="1"/>
  <c r="J230" i="37"/>
  <c r="G115" i="37" s="1"/>
  <c r="J152" i="37"/>
  <c r="K146" i="37"/>
  <c r="K156" i="37" s="1"/>
  <c r="K168" i="37"/>
  <c r="K173" i="37" s="1"/>
  <c r="J170" i="37"/>
  <c r="J154" i="37"/>
  <c r="J215" i="37"/>
  <c r="J171" i="37"/>
  <c r="K157" i="37"/>
  <c r="J153" i="37"/>
  <c r="K175" i="37"/>
  <c r="G125" i="37" s="1"/>
  <c r="J11" i="12" l="1"/>
  <c r="K11" i="12" s="1"/>
  <c r="J13" i="11"/>
  <c r="J10" i="12"/>
  <c r="J12" i="11"/>
  <c r="J8" i="11"/>
  <c r="J9" i="12"/>
  <c r="J11" i="11"/>
  <c r="J8" i="12"/>
  <c r="J10" i="11"/>
  <c r="J14" i="12"/>
  <c r="K14" i="12" s="1"/>
  <c r="J12" i="12"/>
  <c r="K12" i="12" s="1"/>
  <c r="J13" i="12"/>
  <c r="K13" i="12" s="1"/>
  <c r="F64" i="28"/>
  <c r="F72" i="28"/>
  <c r="F80" i="28"/>
  <c r="F66" i="28"/>
  <c r="F74" i="28"/>
  <c r="F67" i="28"/>
  <c r="F75" i="28"/>
  <c r="F69" i="28"/>
  <c r="F68" i="28"/>
  <c r="F76" i="28"/>
  <c r="F77" i="28"/>
  <c r="F82" i="28"/>
  <c r="F70" i="28"/>
  <c r="F78" i="28"/>
  <c r="F71" i="28"/>
  <c r="F79" i="28"/>
  <c r="F65" i="28"/>
  <c r="F73" i="28"/>
  <c r="F81" i="28"/>
  <c r="F58" i="28"/>
  <c r="F63" i="28"/>
  <c r="F57" i="28"/>
  <c r="F56" i="28"/>
  <c r="G111" i="37"/>
  <c r="E82" i="3"/>
  <c r="D7" i="28" s="1"/>
  <c r="C7" i="28"/>
  <c r="J111" i="3"/>
  <c r="D4" i="28"/>
  <c r="B115" i="3"/>
  <c r="C6" i="28"/>
  <c r="B120" i="3"/>
  <c r="G112" i="37"/>
  <c r="G113" i="37"/>
  <c r="G123" i="37"/>
  <c r="K174" i="37"/>
  <c r="G124" i="37" s="1"/>
  <c r="J120" i="3" l="1"/>
  <c r="M119" i="36"/>
  <c r="M112" i="36"/>
  <c r="I116" i="36" s="1"/>
  <c r="M106" i="36"/>
  <c r="M103" i="36"/>
  <c r="I102" i="36"/>
  <c r="M99" i="36"/>
  <c r="I99" i="36" s="1"/>
  <c r="M82" i="36"/>
  <c r="M80" i="36"/>
  <c r="I80" i="36" s="1"/>
  <c r="I79" i="36"/>
  <c r="I78" i="36"/>
  <c r="M75" i="36"/>
  <c r="M74" i="36"/>
  <c r="I73" i="36"/>
  <c r="M72" i="36"/>
  <c r="M71" i="36"/>
  <c r="I70" i="36"/>
  <c r="M68" i="36"/>
  <c r="M66" i="36"/>
  <c r="I58" i="36"/>
  <c r="I54" i="36"/>
  <c r="I53" i="36"/>
  <c r="I52" i="36"/>
  <c r="I51" i="36"/>
  <c r="I47" i="36"/>
  <c r="I43" i="36"/>
  <c r="I42" i="36"/>
  <c r="I41" i="36"/>
  <c r="M36" i="36"/>
  <c r="K36" i="36"/>
  <c r="L35" i="36" s="1"/>
  <c r="M35" i="36"/>
  <c r="K35" i="36"/>
  <c r="I62" i="36" s="1"/>
  <c r="I65" i="36" s="1"/>
  <c r="I121" i="36" l="1"/>
  <c r="I123" i="36" s="1"/>
  <c r="I119" i="36"/>
  <c r="I82" i="36"/>
  <c r="I84" i="36" s="1"/>
  <c r="L36" i="36"/>
  <c r="I74" i="36"/>
  <c r="I103" i="36"/>
  <c r="I55" i="36"/>
  <c r="G92" i="36" s="1"/>
  <c r="I45" i="36"/>
  <c r="I49" i="36" s="1"/>
  <c r="I60" i="36"/>
  <c r="I100" i="36"/>
  <c r="I101" i="36" s="1"/>
  <c r="I111" i="36" s="1"/>
  <c r="I104" i="36"/>
  <c r="I71" i="36"/>
  <c r="I106" i="36"/>
  <c r="I66" i="36"/>
  <c r="I124" i="36" s="1"/>
  <c r="I112" i="36"/>
  <c r="I44" i="36"/>
  <c r="I56" i="36"/>
  <c r="I117" i="36" l="1"/>
  <c r="G93" i="36"/>
  <c r="I85" i="36"/>
  <c r="I105" i="36"/>
  <c r="I118" i="36" s="1"/>
  <c r="I125" i="36" s="1"/>
  <c r="I68" i="36"/>
  <c r="E129" i="36" l="1"/>
  <c r="I126" i="36"/>
  <c r="E130" i="36"/>
  <c r="I107" i="36"/>
  <c r="G94" i="36"/>
  <c r="G95" i="36" s="1"/>
  <c r="I77" i="36"/>
  <c r="I86" i="36" s="1"/>
  <c r="I87" i="36" s="1"/>
  <c r="I88" i="36" s="1"/>
  <c r="E59" i="28" l="1"/>
  <c r="H142" i="30"/>
  <c r="F128" i="30"/>
  <c r="F125" i="30"/>
  <c r="F124" i="30"/>
  <c r="F121" i="30"/>
  <c r="F120" i="30"/>
  <c r="H113" i="30"/>
  <c r="H117" i="30" s="1"/>
  <c r="H140" i="30" s="1"/>
  <c r="H111" i="30"/>
  <c r="H136" i="30" s="1"/>
  <c r="H57" i="30"/>
  <c r="H50" i="30"/>
  <c r="H49" i="30"/>
  <c r="H48" i="30"/>
  <c r="H85" i="30"/>
  <c r="G32" i="30"/>
  <c r="F59" i="28" l="1"/>
  <c r="H76" i="30"/>
  <c r="H79" i="30" s="1"/>
  <c r="H139" i="30"/>
  <c r="H54" i="30"/>
  <c r="H67" i="30"/>
  <c r="H68" i="30"/>
  <c r="H46" i="30"/>
  <c r="H71" i="30"/>
  <c r="H75" i="30"/>
  <c r="H77" i="30" s="1"/>
  <c r="H87" i="30"/>
  <c r="H125" i="30" s="1"/>
  <c r="H155" i="30" s="1"/>
  <c r="H137" i="30"/>
  <c r="H128" i="30"/>
  <c r="H86" i="30"/>
  <c r="H47" i="30"/>
  <c r="H59" i="30"/>
  <c r="H63" i="30" s="1"/>
  <c r="H105" i="30" s="1"/>
  <c r="H69" i="30"/>
  <c r="H70" i="30"/>
  <c r="H89" i="30"/>
  <c r="H156" i="30" s="1"/>
  <c r="H115" i="30"/>
  <c r="H116" i="30" s="1"/>
  <c r="H119" i="30" s="1"/>
  <c r="H82" i="30"/>
  <c r="H91" i="30"/>
  <c r="H92" i="30" s="1"/>
  <c r="H73" i="30"/>
  <c r="H66" i="30"/>
  <c r="H144" i="30" l="1"/>
  <c r="H81" i="30"/>
  <c r="H51" i="30"/>
  <c r="H102" i="30" s="1"/>
  <c r="H52" i="30"/>
  <c r="H64" i="30" s="1"/>
  <c r="H65" i="30" s="1"/>
  <c r="H62" i="30"/>
  <c r="H126" i="30"/>
  <c r="H88" i="30"/>
  <c r="H74" i="30"/>
  <c r="H120" i="30"/>
  <c r="H149" i="30" s="1"/>
  <c r="H163" i="30"/>
  <c r="H129" i="30"/>
  <c r="H72" i="30"/>
  <c r="H103" i="30"/>
  <c r="H90" i="30"/>
  <c r="H84" i="30"/>
  <c r="H121" i="30"/>
  <c r="H154" i="30" s="1"/>
  <c r="H158" i="30" l="1"/>
  <c r="H104" i="30"/>
  <c r="H96" i="30"/>
  <c r="H123" i="30"/>
  <c r="H124" i="30" s="1"/>
  <c r="H127" i="30" s="1"/>
  <c r="H130" i="30" s="1"/>
  <c r="H132" i="30" s="1"/>
  <c r="H95" i="30"/>
  <c r="H106" i="30" s="1"/>
  <c r="H107" i="30" s="1"/>
  <c r="D173" i="30" l="1"/>
  <c r="H97" i="30"/>
  <c r="H98" i="30" s="1"/>
  <c r="H164" i="30" l="1"/>
  <c r="D172" i="30" s="1"/>
  <c r="H165" i="30" l="1"/>
  <c r="K113" i="29"/>
  <c r="E113" i="29"/>
  <c r="H112" i="29"/>
  <c r="H111" i="29"/>
  <c r="H110" i="29"/>
  <c r="H100" i="29"/>
  <c r="H93" i="29"/>
  <c r="H94" i="29" s="1"/>
  <c r="H91" i="29"/>
  <c r="H118" i="29" s="1"/>
  <c r="H90" i="29"/>
  <c r="H88" i="29"/>
  <c r="H89" i="29" s="1"/>
  <c r="H86" i="29"/>
  <c r="H87" i="29" s="1"/>
  <c r="H84" i="29"/>
  <c r="H119" i="29" s="1"/>
  <c r="H82" i="29"/>
  <c r="H117" i="29" s="1"/>
  <c r="H81" i="29"/>
  <c r="H80" i="29"/>
  <c r="H79" i="29"/>
  <c r="H77" i="29"/>
  <c r="H78" i="29" s="1"/>
  <c r="H75" i="29"/>
  <c r="H73" i="29"/>
  <c r="H116" i="29" s="1"/>
  <c r="H72" i="29"/>
  <c r="H61" i="29"/>
  <c r="H60" i="29"/>
  <c r="H59" i="29"/>
  <c r="H40" i="29"/>
  <c r="G40" i="29"/>
  <c r="L130" i="29" s="1"/>
  <c r="H39" i="29"/>
  <c r="G39" i="29"/>
  <c r="L112" i="29" s="1"/>
  <c r="H114" i="29" s="1"/>
  <c r="D34" i="29"/>
  <c r="D35" i="29" s="1"/>
  <c r="D31" i="29"/>
  <c r="H55" i="29" s="1"/>
  <c r="H140" i="29" l="1"/>
  <c r="H98" i="29"/>
  <c r="H74" i="29"/>
  <c r="H128" i="29"/>
  <c r="H129" i="29" s="1"/>
  <c r="H83" i="29"/>
  <c r="H130" i="29"/>
  <c r="H135" i="29"/>
  <c r="H136" i="29" s="1"/>
  <c r="H63" i="29"/>
  <c r="H62" i="29"/>
  <c r="D36" i="29"/>
  <c r="H58" i="29" s="1"/>
  <c r="H133" i="29"/>
  <c r="H138" i="29"/>
  <c r="H139" i="29" s="1"/>
  <c r="H131" i="29"/>
  <c r="H132" i="29" s="1"/>
  <c r="H137" i="29"/>
  <c r="H121" i="29"/>
  <c r="H122" i="29" s="1"/>
  <c r="H56" i="29"/>
  <c r="H64" i="29" s="1"/>
  <c r="H76" i="29"/>
  <c r="H92" i="29"/>
  <c r="H85" i="29"/>
  <c r="H123" i="29"/>
  <c r="H144" i="29" s="1"/>
  <c r="H115" i="29"/>
  <c r="H95" i="29"/>
  <c r="H96" i="29"/>
  <c r="D149" i="29" l="1"/>
  <c r="H124" i="29"/>
  <c r="H67" i="29"/>
  <c r="H65" i="29"/>
  <c r="H103" i="29"/>
  <c r="H101" i="29"/>
  <c r="D148" i="29" l="1"/>
  <c r="H145" i="29"/>
  <c r="H104" i="29"/>
  <c r="H69" i="29"/>
  <c r="H70" i="29" s="1"/>
  <c r="H106" i="29" l="1"/>
  <c r="D14" i="25" l="1"/>
  <c r="D15" i="25"/>
  <c r="D15" i="23"/>
  <c r="D14" i="23"/>
  <c r="D15" i="22"/>
  <c r="D14" i="22"/>
  <c r="D14" i="21"/>
  <c r="D15" i="21"/>
  <c r="D16" i="21" l="1"/>
  <c r="I10" i="12" s="1"/>
  <c r="K10" i="12" s="1"/>
  <c r="D16" i="25"/>
  <c r="D16" i="23"/>
  <c r="D16" i="22"/>
  <c r="I12" i="11" s="1"/>
  <c r="K12" i="11" s="1"/>
  <c r="E55" i="28"/>
  <c r="F55" i="28" s="1"/>
  <c r="E47" i="28"/>
  <c r="F47" i="28" s="1"/>
  <c r="D13" i="20"/>
  <c r="D14" i="20"/>
  <c r="D15" i="20" l="1"/>
  <c r="I9" i="12" s="1"/>
  <c r="K9" i="12" s="1"/>
  <c r="E50" i="28"/>
  <c r="F50" i="28" s="1"/>
  <c r="D15" i="18"/>
  <c r="D14" i="18"/>
  <c r="D15" i="17"/>
  <c r="D14" i="17"/>
  <c r="D14" i="16"/>
  <c r="D23" i="16"/>
  <c r="E23" i="16"/>
  <c r="D15" i="16"/>
  <c r="D14" i="15"/>
  <c r="F37" i="15"/>
  <c r="F36" i="15"/>
  <c r="F34" i="15"/>
  <c r="F33" i="15"/>
  <c r="F31" i="15"/>
  <c r="F30" i="15"/>
  <c r="F28" i="15"/>
  <c r="F27" i="15"/>
  <c r="F25" i="15"/>
  <c r="F24" i="15"/>
  <c r="F22" i="15"/>
  <c r="F21" i="15"/>
  <c r="D15" i="15"/>
  <c r="D32" i="14"/>
  <c r="D14" i="10"/>
  <c r="D16" i="18" l="1"/>
  <c r="I8" i="12" s="1"/>
  <c r="K8" i="12" s="1"/>
  <c r="D16" i="15"/>
  <c r="I13" i="11" s="1"/>
  <c r="K13" i="11" s="1"/>
  <c r="D16" i="17"/>
  <c r="I11" i="11" s="1"/>
  <c r="K11" i="11" s="1"/>
  <c r="D16" i="16"/>
  <c r="I10" i="11" s="1"/>
  <c r="K10" i="11" s="1"/>
  <c r="E46" i="28"/>
  <c r="F46" i="28" s="1"/>
  <c r="E53" i="28"/>
  <c r="F53" i="28" s="1"/>
  <c r="D15" i="10"/>
  <c r="I8" i="11" s="1"/>
  <c r="K8" i="11" s="1"/>
  <c r="E45" i="28"/>
  <c r="F45" i="28" s="1"/>
  <c r="E48" i="28"/>
  <c r="F48" i="28" s="1"/>
  <c r="E54" i="28"/>
  <c r="I17" i="12" l="1"/>
  <c r="J17" i="12" s="1"/>
  <c r="K17" i="12" s="1"/>
  <c r="I17" i="11"/>
  <c r="J17" i="11" s="1"/>
  <c r="K17" i="11" s="1"/>
  <c r="E43" i="28"/>
  <c r="F43" i="28" s="1"/>
  <c r="F54" i="28"/>
  <c r="E81" i="3"/>
  <c r="D6" i="28" s="1"/>
  <c r="E83" i="28" l="1"/>
  <c r="F83" i="28" s="1"/>
  <c r="J115" i="3"/>
  <c r="D31" i="14" l="1"/>
  <c r="D33" i="14" s="1"/>
  <c r="D8" i="28" l="1"/>
  <c r="D9" i="28" l="1"/>
  <c r="D10" i="28"/>
  <c r="C8" i="28"/>
  <c r="C10" i="28" l="1"/>
  <c r="C9" i="28"/>
</calcChain>
</file>

<file path=xl/sharedStrings.xml><?xml version="1.0" encoding="utf-8"?>
<sst xmlns="http://schemas.openxmlformats.org/spreadsheetml/2006/main" count="2774" uniqueCount="1348">
  <si>
    <t>OD法</t>
    <rPh sb="2" eb="3">
      <t>ホウ</t>
    </rPh>
    <phoneticPr fontId="2"/>
  </si>
  <si>
    <t>処理方式リスト</t>
    <rPh sb="0" eb="4">
      <t>ショリホウシキ</t>
    </rPh>
    <phoneticPr fontId="2"/>
  </si>
  <si>
    <t>(処理方式を選択)</t>
    <rPh sb="1" eb="5">
      <t>ショリホウシキ</t>
    </rPh>
    <rPh sb="6" eb="8">
      <t>センタク</t>
    </rPh>
    <phoneticPr fontId="2"/>
  </si>
  <si>
    <t>単位</t>
    <rPh sb="0" eb="2">
      <t>タンイ</t>
    </rPh>
    <phoneticPr fontId="5"/>
  </si>
  <si>
    <t>排出係数</t>
    <rPh sb="0" eb="2">
      <t>ハイシュツ</t>
    </rPh>
    <rPh sb="2" eb="4">
      <t>ケイスウ</t>
    </rPh>
    <phoneticPr fontId="5"/>
  </si>
  <si>
    <t>排出量</t>
    <rPh sb="0" eb="2">
      <t>ハイシュツ</t>
    </rPh>
    <rPh sb="2" eb="3">
      <t>リョウ</t>
    </rPh>
    <phoneticPr fontId="5"/>
  </si>
  <si>
    <t>千kWh</t>
  </si>
  <si>
    <t>×</t>
  </si>
  <si>
    <t>＝</t>
  </si>
  <si>
    <t xml:space="preserve"> 特A重油</t>
  </si>
  <si>
    <t>kL</t>
  </si>
  <si>
    <t xml:space="preserve"> A重油</t>
  </si>
  <si>
    <t xml:space="preserve"> 灯油</t>
  </si>
  <si>
    <t xml:space="preserve"> 軽油</t>
  </si>
  <si>
    <t xml:space="preserve"> ガソリン</t>
  </si>
  <si>
    <t xml:space="preserve"> 都市ガス</t>
  </si>
  <si>
    <t xml:space="preserve"> プロパンガス</t>
  </si>
  <si>
    <t>ｔ</t>
  </si>
  <si>
    <t xml:space="preserve"> コークス</t>
  </si>
  <si>
    <t>kl</t>
  </si>
  <si>
    <t>＝</t>
    <phoneticPr fontId="2"/>
  </si>
  <si>
    <t>t-CO₂</t>
    <phoneticPr fontId="2"/>
  </si>
  <si>
    <t xml:space="preserve"> t-CO₂/千kWh</t>
    <phoneticPr fontId="2"/>
  </si>
  <si>
    <t xml:space="preserve"> t-CO₂/kL</t>
    <phoneticPr fontId="2"/>
  </si>
  <si>
    <t xml:space="preserve"> t-CO₂/t</t>
    <phoneticPr fontId="2"/>
  </si>
  <si>
    <t xml:space="preserve"> t-CO₂/kl</t>
    <phoneticPr fontId="2"/>
  </si>
  <si>
    <t>÷</t>
  </si>
  <si>
    <t>項目</t>
    <rPh sb="0" eb="2">
      <t>コウモク</t>
    </rPh>
    <phoneticPr fontId="2"/>
  </si>
  <si>
    <t>単位</t>
    <rPh sb="0" eb="2">
      <t>タンイ</t>
    </rPh>
    <phoneticPr fontId="2"/>
  </si>
  <si>
    <t>千Nm³</t>
    <phoneticPr fontId="2"/>
  </si>
  <si>
    <t xml:space="preserve"> t-CO₂/千Nm³</t>
    <rPh sb="7" eb="8">
      <t>セン</t>
    </rPh>
    <phoneticPr fontId="2"/>
  </si>
  <si>
    <t xml:space="preserve"> 処理水量</t>
    <rPh sb="1" eb="3">
      <t>ショリ</t>
    </rPh>
    <rPh sb="3" eb="4">
      <t>スイ</t>
    </rPh>
    <rPh sb="4" eb="5">
      <t>リョウ</t>
    </rPh>
    <phoneticPr fontId="5"/>
  </si>
  <si>
    <r>
      <t>千m</t>
    </r>
    <r>
      <rPr>
        <vertAlign val="superscript"/>
        <sz val="11"/>
        <color theme="1"/>
        <rFont val="游ゴシック"/>
        <family val="3"/>
        <charset val="128"/>
        <scheme val="minor"/>
      </rPr>
      <t>3</t>
    </r>
    <r>
      <rPr>
        <sz val="11"/>
        <color theme="1"/>
        <rFont val="游ゴシック"/>
        <family val="3"/>
        <charset val="128"/>
        <scheme val="minor"/>
      </rPr>
      <t>/年</t>
    </r>
    <rPh sb="0" eb="1">
      <t>セン</t>
    </rPh>
    <rPh sb="4" eb="5">
      <t>ネン</t>
    </rPh>
    <phoneticPr fontId="5"/>
  </si>
  <si>
    <t xml:space="preserve"> 日/年</t>
    <rPh sb="1" eb="2">
      <t>ニチ</t>
    </rPh>
    <phoneticPr fontId="5"/>
  </si>
  <si>
    <r>
      <rPr>
        <sz val="11"/>
        <color theme="1"/>
        <rFont val="游ゴシック"/>
        <family val="3"/>
        <charset val="128"/>
        <scheme val="minor"/>
      </rPr>
      <t xml:space="preserve"> </t>
    </r>
    <r>
      <rPr>
        <sz val="11"/>
        <color theme="1"/>
        <rFont val="游ゴシック"/>
        <family val="2"/>
        <charset val="128"/>
        <scheme val="minor"/>
      </rPr>
      <t>m</t>
    </r>
    <r>
      <rPr>
        <vertAlign val="superscript"/>
        <sz val="11"/>
        <color theme="1"/>
        <rFont val="游ゴシック"/>
        <family val="3"/>
        <charset val="128"/>
        <scheme val="minor"/>
      </rPr>
      <t>3</t>
    </r>
    <r>
      <rPr>
        <sz val="11"/>
        <color theme="1"/>
        <rFont val="游ゴシック"/>
        <family val="2"/>
        <charset val="128"/>
        <scheme val="minor"/>
      </rPr>
      <t>/日</t>
    </r>
    <rPh sb="4" eb="5">
      <t>ニチ</t>
    </rPh>
    <phoneticPr fontId="5"/>
  </si>
  <si>
    <t>係数</t>
    <rPh sb="0" eb="2">
      <t>ケイスウ</t>
    </rPh>
    <phoneticPr fontId="2"/>
  </si>
  <si>
    <t>=</t>
    <phoneticPr fontId="2"/>
  </si>
  <si>
    <t xml:space="preserve"> t-CO2/千m3</t>
    <phoneticPr fontId="2"/>
  </si>
  <si>
    <t>2．実績値の算出</t>
    <rPh sb="2" eb="4">
      <t>ジッセキ</t>
    </rPh>
    <rPh sb="4" eb="5">
      <t>チ</t>
    </rPh>
    <rPh sb="6" eb="8">
      <t>サンシュツ</t>
    </rPh>
    <phoneticPr fontId="5"/>
  </si>
  <si>
    <t>標準法</t>
    <rPh sb="0" eb="3">
      <t>ヒョウジュンホウ</t>
    </rPh>
    <phoneticPr fontId="2"/>
  </si>
  <si>
    <t>100,000m³/日~</t>
    <phoneticPr fontId="2"/>
  </si>
  <si>
    <t>～10,000m³/日</t>
    <rPh sb="10" eb="11">
      <t>ニチ</t>
    </rPh>
    <phoneticPr fontId="2"/>
  </si>
  <si>
    <t>ー</t>
    <phoneticPr fontId="2"/>
  </si>
  <si>
    <t>水処理方式</t>
    <rPh sb="0" eb="3">
      <t>ミズショリ</t>
    </rPh>
    <rPh sb="3" eb="5">
      <t>ホウシキ</t>
    </rPh>
    <phoneticPr fontId="2"/>
  </si>
  <si>
    <t>(水処理方式)</t>
    <rPh sb="1" eb="4">
      <t>ミズショリ</t>
    </rPh>
    <rPh sb="4" eb="6">
      <t>ホウシキ</t>
    </rPh>
    <phoneticPr fontId="2"/>
  </si>
  <si>
    <t>2.長時間エアレーション法</t>
    <phoneticPr fontId="2"/>
  </si>
  <si>
    <t>3.酸素活性汚泥法</t>
    <phoneticPr fontId="2"/>
  </si>
  <si>
    <t>10.接触酸化法</t>
    <phoneticPr fontId="2"/>
  </si>
  <si>
    <t>9.高速散水ろ床法</t>
    <phoneticPr fontId="2"/>
  </si>
  <si>
    <t>11.回転生物接触法</t>
  </si>
  <si>
    <t>12.土壌被覆型礫間接触法</t>
  </si>
  <si>
    <t>14.嫌気無酸素好気法</t>
  </si>
  <si>
    <t>15.循環式硝化脱窒法</t>
  </si>
  <si>
    <t>16.硝化内生脱窒法</t>
  </si>
  <si>
    <t>18.嫌気好気活性汚泥法</t>
  </si>
  <si>
    <t>1.標準活性汚泥法</t>
    <phoneticPr fontId="2"/>
  </si>
  <si>
    <t>19.高度処理オキシデーションディッチ法</t>
    <phoneticPr fontId="2"/>
  </si>
  <si>
    <t>4.モディファイド・エアレーション法</t>
  </si>
  <si>
    <t>5.ステップエアレーション法</t>
    <phoneticPr fontId="2"/>
  </si>
  <si>
    <t>6.回分式活性汚泥法</t>
    <phoneticPr fontId="2"/>
  </si>
  <si>
    <t>7.好気性ろ床法</t>
    <phoneticPr fontId="2"/>
  </si>
  <si>
    <t>8.嫌気好気ろ床法</t>
    <phoneticPr fontId="2"/>
  </si>
  <si>
    <t>13.オキシデーションディッチ法</t>
    <phoneticPr fontId="2"/>
  </si>
  <si>
    <t>17.ステップ流入式多段硝化脱窒法</t>
    <phoneticPr fontId="2"/>
  </si>
  <si>
    <t>焼却炉設備の有無</t>
    <rPh sb="3" eb="5">
      <t>セツビ</t>
    </rPh>
    <rPh sb="6" eb="8">
      <t>ウム</t>
    </rPh>
    <phoneticPr fontId="2"/>
  </si>
  <si>
    <t>焼却の有無</t>
    <rPh sb="0" eb="2">
      <t>ショウキャク</t>
    </rPh>
    <rPh sb="3" eb="5">
      <t>ウム</t>
    </rPh>
    <phoneticPr fontId="2"/>
  </si>
  <si>
    <t>(焼却設備の有無）</t>
    <rPh sb="1" eb="3">
      <t>ショウキャク</t>
    </rPh>
    <rPh sb="3" eb="5">
      <t>セツビ</t>
    </rPh>
    <rPh sb="6" eb="8">
      <t>ウム</t>
    </rPh>
    <phoneticPr fontId="2"/>
  </si>
  <si>
    <t>焼却あり</t>
    <rPh sb="0" eb="2">
      <t>ショウキャク</t>
    </rPh>
    <phoneticPr fontId="2"/>
  </si>
  <si>
    <t>焼却なし</t>
    <rPh sb="0" eb="2">
      <t>ショウキャク</t>
    </rPh>
    <phoneticPr fontId="2"/>
  </si>
  <si>
    <t>処理方式</t>
    <rPh sb="0" eb="4">
      <t>ショリホウシキ</t>
    </rPh>
    <phoneticPr fontId="2"/>
  </si>
  <si>
    <t>電力の排出係数</t>
    <rPh sb="0" eb="2">
      <t>デンリョク</t>
    </rPh>
    <rPh sb="3" eb="5">
      <t>ハイシュツ</t>
    </rPh>
    <rPh sb="5" eb="7">
      <t>ケイスウ</t>
    </rPh>
    <phoneticPr fontId="2"/>
  </si>
  <si>
    <r>
      <t xml:space="preserve"> 千m</t>
    </r>
    <r>
      <rPr>
        <b/>
        <vertAlign val="superscript"/>
        <sz val="11"/>
        <color theme="1"/>
        <rFont val="游ゴシック"/>
        <family val="3"/>
        <charset val="128"/>
        <scheme val="minor"/>
      </rPr>
      <t>3</t>
    </r>
    <r>
      <rPr>
        <b/>
        <sz val="11"/>
        <color theme="1"/>
        <rFont val="游ゴシック"/>
        <family val="3"/>
        <charset val="128"/>
        <scheme val="minor"/>
      </rPr>
      <t>/年</t>
    </r>
    <rPh sb="1" eb="2">
      <t>セン</t>
    </rPh>
    <rPh sb="5" eb="6">
      <t>ネン</t>
    </rPh>
    <phoneticPr fontId="2"/>
  </si>
  <si>
    <r>
      <t>t-CO</t>
    </r>
    <r>
      <rPr>
        <b/>
        <vertAlign val="subscript"/>
        <sz val="11"/>
        <color theme="1"/>
        <rFont val="游ゴシック"/>
        <family val="3"/>
        <charset val="128"/>
        <scheme val="minor"/>
      </rPr>
      <t>2</t>
    </r>
    <r>
      <rPr>
        <b/>
        <sz val="11"/>
        <color theme="1"/>
        <rFont val="游ゴシック"/>
        <family val="3"/>
        <charset val="128"/>
        <scheme val="minor"/>
      </rPr>
      <t>/千kWh</t>
    </r>
    <rPh sb="6" eb="7">
      <t>セン</t>
    </rPh>
    <phoneticPr fontId="2"/>
  </si>
  <si>
    <t>20.循環式消化脱窒型膜分離活性汚泥法</t>
    <phoneticPr fontId="2"/>
  </si>
  <si>
    <t>21.その他処理方法</t>
    <phoneticPr fontId="2"/>
  </si>
  <si>
    <t xml:space="preserve"> t-CO₂/千Nm³</t>
    <phoneticPr fontId="2"/>
  </si>
  <si>
    <t>消費量等（年間）</t>
    <rPh sb="0" eb="3">
      <t>ショウヒリョウ</t>
    </rPh>
    <rPh sb="3" eb="4">
      <t>トウ</t>
    </rPh>
    <rPh sb="5" eb="7">
      <t>ネンカン</t>
    </rPh>
    <phoneticPr fontId="5"/>
  </si>
  <si>
    <t>-</t>
    <phoneticPr fontId="2"/>
  </si>
  <si>
    <t>処理方式:</t>
    <rPh sb="0" eb="4">
      <t>ショリホウシキ</t>
    </rPh>
    <phoneticPr fontId="2"/>
  </si>
  <si>
    <t>入力又はリストから選択</t>
    <rPh sb="0" eb="2">
      <t>ニュウリョク</t>
    </rPh>
    <rPh sb="2" eb="3">
      <t>マタ</t>
    </rPh>
    <rPh sb="9" eb="11">
      <t>センタク</t>
    </rPh>
    <phoneticPr fontId="2"/>
  </si>
  <si>
    <t>自動計算</t>
    <rPh sb="0" eb="4">
      <t>ジドウケイサン</t>
    </rPh>
    <phoneticPr fontId="2"/>
  </si>
  <si>
    <t>固定</t>
    <rPh sb="0" eb="2">
      <t>コテイ</t>
    </rPh>
    <phoneticPr fontId="5"/>
  </si>
  <si>
    <t>対象</t>
    <rPh sb="0" eb="2">
      <t>タイショウ</t>
    </rPh>
    <phoneticPr fontId="2"/>
  </si>
  <si>
    <t>処理場消費電力量</t>
    <rPh sb="0" eb="3">
      <t>ショリジョウ</t>
    </rPh>
    <rPh sb="3" eb="5">
      <t>ショウヒ</t>
    </rPh>
    <rPh sb="5" eb="7">
      <t>デンリョク</t>
    </rPh>
    <rPh sb="7" eb="8">
      <t>リョウ</t>
    </rPh>
    <phoneticPr fontId="2"/>
  </si>
  <si>
    <t>千kWh/年</t>
    <rPh sb="0" eb="1">
      <t>セン</t>
    </rPh>
    <rPh sb="5" eb="6">
      <t>ネン</t>
    </rPh>
    <phoneticPr fontId="2"/>
  </si>
  <si>
    <t>削減率</t>
    <rPh sb="0" eb="3">
      <t>サクゲンリツ</t>
    </rPh>
    <phoneticPr fontId="2"/>
  </si>
  <si>
    <t xml:space="preserve">% </t>
    <phoneticPr fontId="2"/>
  </si>
  <si>
    <t>※本業務におけるアンケート調査結果より</t>
    <rPh sb="1" eb="4">
      <t>ホンギョウム</t>
    </rPh>
    <rPh sb="13" eb="15">
      <t>チョウサ</t>
    </rPh>
    <rPh sb="15" eb="17">
      <t>ケッカ</t>
    </rPh>
    <phoneticPr fontId="2"/>
  </si>
  <si>
    <t>導入割合</t>
    <rPh sb="0" eb="2">
      <t>ドウニュウ</t>
    </rPh>
    <rPh sb="2" eb="4">
      <t>ワリアイ</t>
    </rPh>
    <phoneticPr fontId="2"/>
  </si>
  <si>
    <t>%</t>
    <phoneticPr fontId="2"/>
  </si>
  <si>
    <t>※一部系列、一部機器のみ対策を行う場合はその対策導入割合を入力してください。</t>
    <rPh sb="1" eb="3">
      <t>イチブ</t>
    </rPh>
    <rPh sb="3" eb="5">
      <t>ケイレツ</t>
    </rPh>
    <rPh sb="6" eb="10">
      <t>イチブキキ</t>
    </rPh>
    <rPh sb="12" eb="14">
      <t>タイサク</t>
    </rPh>
    <rPh sb="15" eb="16">
      <t>オコナ</t>
    </rPh>
    <rPh sb="17" eb="19">
      <t>バアイ</t>
    </rPh>
    <rPh sb="22" eb="24">
      <t>タイサク</t>
    </rPh>
    <rPh sb="24" eb="26">
      <t>ドウニュウ</t>
    </rPh>
    <rPh sb="26" eb="28">
      <t>ワリアイ</t>
    </rPh>
    <rPh sb="29" eb="31">
      <t>ニュウリョク</t>
    </rPh>
    <phoneticPr fontId="2"/>
  </si>
  <si>
    <t>消費電力量削減量</t>
    <rPh sb="0" eb="2">
      <t>ショウヒ</t>
    </rPh>
    <rPh sb="2" eb="4">
      <t>デンリョク</t>
    </rPh>
    <rPh sb="4" eb="5">
      <t>リョウ</t>
    </rPh>
    <rPh sb="5" eb="8">
      <t>サクゲンリョウ</t>
    </rPh>
    <phoneticPr fontId="2"/>
  </si>
  <si>
    <t>t-CO₂/千kWh</t>
    <phoneticPr fontId="2"/>
  </si>
  <si>
    <t>温室効果ガス削減量</t>
    <rPh sb="0" eb="4">
      <t>オンシツコウカ</t>
    </rPh>
    <rPh sb="6" eb="9">
      <t>サクゲンリョウ</t>
    </rPh>
    <phoneticPr fontId="2"/>
  </si>
  <si>
    <t>下記、緑色のセルに実態に合わせて数値を入力してください。</t>
    <rPh sb="0" eb="2">
      <t>カキ</t>
    </rPh>
    <rPh sb="3" eb="4">
      <t>ミドリ</t>
    </rPh>
    <rPh sb="4" eb="5">
      <t>イロ</t>
    </rPh>
    <rPh sb="9" eb="11">
      <t>ジッタイ</t>
    </rPh>
    <rPh sb="12" eb="13">
      <t>ア</t>
    </rPh>
    <rPh sb="16" eb="18">
      <t>スウチ</t>
    </rPh>
    <rPh sb="19" eb="21">
      <t>ニュウリョク</t>
    </rPh>
    <phoneticPr fontId="2"/>
  </si>
  <si>
    <t xml:space="preserve">     全て行う場合は100%です。</t>
    <rPh sb="5" eb="6">
      <t>スベ</t>
    </rPh>
    <rPh sb="7" eb="8">
      <t>オコナ</t>
    </rPh>
    <rPh sb="9" eb="11">
      <t>バアイ</t>
    </rPh>
    <phoneticPr fontId="2"/>
  </si>
  <si>
    <t>OD法の処理場で流入比率が低い処理場において曝気装置の間欠運転ができる可能性があります。</t>
    <rPh sb="2" eb="3">
      <t>ホウ</t>
    </rPh>
    <rPh sb="4" eb="7">
      <t>ショリジョウ</t>
    </rPh>
    <rPh sb="8" eb="10">
      <t>リュウニュウ</t>
    </rPh>
    <rPh sb="10" eb="12">
      <t>ヒリツ</t>
    </rPh>
    <rPh sb="13" eb="14">
      <t>ヒク</t>
    </rPh>
    <rPh sb="15" eb="18">
      <t>ショリジョウ</t>
    </rPh>
    <rPh sb="22" eb="26">
      <t>バッキソウチ</t>
    </rPh>
    <rPh sb="27" eb="29">
      <t>カンケツ</t>
    </rPh>
    <rPh sb="29" eb="31">
      <t>ウンテン</t>
    </rPh>
    <rPh sb="35" eb="38">
      <t>カノウセイ</t>
    </rPh>
    <phoneticPr fontId="2"/>
  </si>
  <si>
    <t>黄色のセルが温室効果ガス削減量になります。</t>
    <rPh sb="0" eb="2">
      <t>キイロ</t>
    </rPh>
    <rPh sb="6" eb="8">
      <t>オンシツ</t>
    </rPh>
    <rPh sb="8" eb="10">
      <t>コウカ</t>
    </rPh>
    <rPh sb="12" eb="15">
      <t>サクゲンリョウ</t>
    </rPh>
    <phoneticPr fontId="2"/>
  </si>
  <si>
    <t>対策内容</t>
    <rPh sb="0" eb="2">
      <t>タイサク</t>
    </rPh>
    <rPh sb="2" eb="4">
      <t>ナイヨウ</t>
    </rPh>
    <phoneticPr fontId="2"/>
  </si>
  <si>
    <t>流入比率に応じた機械撹拌式曝気装置の間欠運転</t>
    <phoneticPr fontId="2"/>
  </si>
  <si>
    <t>対策による
温室効果ガス削減量</t>
    <rPh sb="0" eb="2">
      <t>タイサク</t>
    </rPh>
    <phoneticPr fontId="2"/>
  </si>
  <si>
    <t>対策No.1</t>
  </si>
  <si>
    <t>・水処理対策リスト</t>
    <rPh sb="1" eb="4">
      <t>ミズショリ</t>
    </rPh>
    <rPh sb="4" eb="6">
      <t>タイサク</t>
    </rPh>
    <phoneticPr fontId="2"/>
  </si>
  <si>
    <t>対策を検討する場合は下記に"○"を入力</t>
    <rPh sb="0" eb="2">
      <t>タイサク</t>
    </rPh>
    <rPh sb="3" eb="5">
      <t>ケントウ</t>
    </rPh>
    <rPh sb="7" eb="9">
      <t>バアイ</t>
    </rPh>
    <rPh sb="10" eb="12">
      <t>カキ</t>
    </rPh>
    <rPh sb="17" eb="19">
      <t>ニュウリョク</t>
    </rPh>
    <phoneticPr fontId="2"/>
  </si>
  <si>
    <t>　　各対策の導入効果については必ず着色部のセルのリンクから各対策入力シートにアクセスをして必要情報を記入してください。</t>
    <rPh sb="2" eb="5">
      <t>カクタイサク</t>
    </rPh>
    <rPh sb="6" eb="8">
      <t>ドウニュウ</t>
    </rPh>
    <rPh sb="8" eb="10">
      <t>コウカ</t>
    </rPh>
    <rPh sb="15" eb="16">
      <t>カナラ</t>
    </rPh>
    <rPh sb="17" eb="19">
      <t>チャクショク</t>
    </rPh>
    <rPh sb="19" eb="20">
      <t>ブ</t>
    </rPh>
    <rPh sb="29" eb="30">
      <t>カク</t>
    </rPh>
    <rPh sb="30" eb="32">
      <t>タイサク</t>
    </rPh>
    <rPh sb="32" eb="34">
      <t>ニュウリョク</t>
    </rPh>
    <phoneticPr fontId="2"/>
  </si>
  <si>
    <t>対策
番号</t>
    <rPh sb="0" eb="2">
      <t>タイサク</t>
    </rPh>
    <rPh sb="3" eb="5">
      <t>バンゴウ</t>
    </rPh>
    <phoneticPr fontId="2"/>
  </si>
  <si>
    <t>対策No.2</t>
  </si>
  <si>
    <t>自動制御をもちいた運転管理の導入</t>
    <rPh sb="0" eb="2">
      <t>ジドウ</t>
    </rPh>
    <rPh sb="2" eb="4">
      <t>セイギョ</t>
    </rPh>
    <rPh sb="9" eb="11">
      <t>ウンテン</t>
    </rPh>
    <rPh sb="11" eb="13">
      <t>カンリ</t>
    </rPh>
    <rPh sb="14" eb="16">
      <t>ドウニュウ</t>
    </rPh>
    <phoneticPr fontId="2"/>
  </si>
  <si>
    <t>※「公財）日本下水道新技術機構　オキシデーションディッチ法の省エネ技術に関する技術資料より」</t>
    <rPh sb="2" eb="4">
      <t>コウザイ</t>
    </rPh>
    <rPh sb="5" eb="10">
      <t>ニホンゲスイドウ</t>
    </rPh>
    <rPh sb="10" eb="13">
      <t>シンギジュツ</t>
    </rPh>
    <rPh sb="13" eb="15">
      <t>キコウ</t>
    </rPh>
    <rPh sb="28" eb="29">
      <t>ホウ</t>
    </rPh>
    <rPh sb="30" eb="31">
      <t>ショウ</t>
    </rPh>
    <rPh sb="33" eb="35">
      <t>ギジュツ</t>
    </rPh>
    <rPh sb="36" eb="37">
      <t>カン</t>
    </rPh>
    <rPh sb="39" eb="41">
      <t>ギジュツ</t>
    </rPh>
    <rPh sb="41" eb="43">
      <t>シリョウ</t>
    </rPh>
    <phoneticPr fontId="2"/>
  </si>
  <si>
    <t>・水処理対策No.1 流入比率に応じた機械撹拌式曝気装置の間欠運転</t>
    <rPh sb="1" eb="4">
      <t>ミズショリ</t>
    </rPh>
    <rPh sb="4" eb="6">
      <t>タイサク</t>
    </rPh>
    <rPh sb="11" eb="13">
      <t>リュウニュウ</t>
    </rPh>
    <rPh sb="13" eb="15">
      <t>ヒリツ</t>
    </rPh>
    <rPh sb="16" eb="17">
      <t>オウ</t>
    </rPh>
    <rPh sb="19" eb="23">
      <t>キカイカクハン</t>
    </rPh>
    <rPh sb="23" eb="24">
      <t>シキ</t>
    </rPh>
    <rPh sb="24" eb="26">
      <t>バッキ</t>
    </rPh>
    <rPh sb="26" eb="28">
      <t>ソウチ</t>
    </rPh>
    <rPh sb="29" eb="31">
      <t>カンケツ</t>
    </rPh>
    <rPh sb="31" eb="33">
      <t>ウンテン</t>
    </rPh>
    <phoneticPr fontId="2"/>
  </si>
  <si>
    <t>・水処理対策No.2 自動制御をもちいた運転管理の導入</t>
    <rPh sb="1" eb="4">
      <t>ミズショリ</t>
    </rPh>
    <rPh sb="4" eb="6">
      <t>タイサク</t>
    </rPh>
    <phoneticPr fontId="2"/>
  </si>
  <si>
    <t>【B－DASH】ICTを活用した効率的な硝化運転制御の実用化に関する技術の導入</t>
    <rPh sb="37" eb="39">
      <t>ドウニュウ</t>
    </rPh>
    <phoneticPr fontId="2"/>
  </si>
  <si>
    <t>制御方法</t>
    <rPh sb="0" eb="2">
      <t>セイギョ</t>
    </rPh>
    <rPh sb="2" eb="4">
      <t>ホウホウ</t>
    </rPh>
    <phoneticPr fontId="2"/>
  </si>
  <si>
    <t>風量一定</t>
    <rPh sb="0" eb="2">
      <t>フウリョウ</t>
    </rPh>
    <rPh sb="2" eb="4">
      <t>イッテイ</t>
    </rPh>
    <phoneticPr fontId="2"/>
  </si>
  <si>
    <t>DO一定制御</t>
    <rPh sb="2" eb="4">
      <t>イッテイ</t>
    </rPh>
    <rPh sb="4" eb="6">
      <t>セイギョ</t>
    </rPh>
    <phoneticPr fontId="2"/>
  </si>
  <si>
    <t>B－DASH導入</t>
    <rPh sb="6" eb="8">
      <t>ドウニュウ</t>
    </rPh>
    <phoneticPr fontId="2"/>
  </si>
  <si>
    <t>10000m³</t>
    <phoneticPr fontId="2"/>
  </si>
  <si>
    <t>50000m³</t>
    <phoneticPr fontId="2"/>
  </si>
  <si>
    <t>100000m³</t>
    <phoneticPr fontId="2"/>
  </si>
  <si>
    <t>循環法</t>
    <rPh sb="0" eb="3">
      <t>ジュンカンホウ</t>
    </rPh>
    <phoneticPr fontId="2"/>
  </si>
  <si>
    <t>消費電力量
[kWh/日］</t>
    <rPh sb="0" eb="2">
      <t>ショウヒ</t>
    </rPh>
    <rPh sb="2" eb="5">
      <t>デンリョクリョウ</t>
    </rPh>
    <rPh sb="11" eb="12">
      <t>ニチ</t>
    </rPh>
    <phoneticPr fontId="2"/>
  </si>
  <si>
    <t>日最大
流入水量</t>
    <rPh sb="0" eb="3">
      <t>ニチサイダイ</t>
    </rPh>
    <rPh sb="4" eb="6">
      <t>リュウニュウ</t>
    </rPh>
    <rPh sb="6" eb="8">
      <t>スイリョウ</t>
    </rPh>
    <phoneticPr fontId="2"/>
  </si>
  <si>
    <t>送風機設備の消費電力量</t>
    <rPh sb="0" eb="3">
      <t>ソウフウキ</t>
    </rPh>
    <rPh sb="3" eb="5">
      <t>セツビ</t>
    </rPh>
    <rPh sb="6" eb="8">
      <t>ショウヒ</t>
    </rPh>
    <rPh sb="8" eb="11">
      <t>デンリョクリョウ</t>
    </rPh>
    <phoneticPr fontId="2"/>
  </si>
  <si>
    <t>標準法、高度処理、その他水処理</t>
    <rPh sb="0" eb="3">
      <t>ヒョウジュンホウ</t>
    </rPh>
    <rPh sb="4" eb="8">
      <t>コウドショリ</t>
    </rPh>
    <rPh sb="11" eb="12">
      <t>タ</t>
    </rPh>
    <rPh sb="12" eb="15">
      <t>ミズショリ</t>
    </rPh>
    <phoneticPr fontId="2"/>
  </si>
  <si>
    <t>※下記表から最も適合する削減率を選択してください。</t>
    <rPh sb="1" eb="3">
      <t>カキ</t>
    </rPh>
    <rPh sb="3" eb="4">
      <t>ヒョウ</t>
    </rPh>
    <rPh sb="6" eb="7">
      <t>モット</t>
    </rPh>
    <rPh sb="8" eb="10">
      <t>テキゴウ</t>
    </rPh>
    <rPh sb="12" eb="15">
      <t>サクゲンリツ</t>
    </rPh>
    <rPh sb="16" eb="18">
      <t>センタク</t>
    </rPh>
    <phoneticPr fontId="2"/>
  </si>
  <si>
    <t>本技術導入による削減率</t>
    <rPh sb="0" eb="3">
      <t>ホンギジュツ</t>
    </rPh>
    <rPh sb="3" eb="5">
      <t>ドウニュウ</t>
    </rPh>
    <rPh sb="8" eb="11">
      <t>サクゲンリツ</t>
    </rPh>
    <phoneticPr fontId="2"/>
  </si>
  <si>
    <t>検討技術の詳細は「ICTを活用した効率的な硝化運転制御の実用化に関する技術実証事業」におけるガイドラインを参照してください</t>
    <rPh sb="0" eb="2">
      <t>ケントウ</t>
    </rPh>
    <rPh sb="2" eb="4">
      <t>ギジュツ</t>
    </rPh>
    <rPh sb="5" eb="7">
      <t>ショウサイ</t>
    </rPh>
    <rPh sb="53" eb="55">
      <t>サンショウ</t>
    </rPh>
    <phoneticPr fontId="2"/>
  </si>
  <si>
    <t>検討技術の詳細は「公財）日本下水道新技術機構　オキシデーションディッチ法の省エネ技術に関する技術資料」を参照してください</t>
    <rPh sb="0" eb="2">
      <t>ケントウ</t>
    </rPh>
    <rPh sb="2" eb="4">
      <t>ギジュツ</t>
    </rPh>
    <rPh sb="5" eb="7">
      <t>ショウサイ</t>
    </rPh>
    <rPh sb="52" eb="54">
      <t>サンショウ</t>
    </rPh>
    <phoneticPr fontId="2"/>
  </si>
  <si>
    <t>高効率ブロワの導入(磁気浮上式ターボブロア)</t>
    <rPh sb="0" eb="3">
      <t>コウコウリツ</t>
    </rPh>
    <rPh sb="7" eb="9">
      <t>ドウニュウ</t>
    </rPh>
    <rPh sb="10" eb="14">
      <t>ジキフジョウ</t>
    </rPh>
    <rPh sb="14" eb="15">
      <t>シキ</t>
    </rPh>
    <phoneticPr fontId="2"/>
  </si>
  <si>
    <t>検討技術の詳細は「下水道における地球温暖化対策マニュアル 参-8」を参照してください</t>
    <rPh sb="0" eb="2">
      <t>ケントウ</t>
    </rPh>
    <rPh sb="2" eb="4">
      <t>ギジュツ</t>
    </rPh>
    <rPh sb="5" eb="7">
      <t>ショウサイ</t>
    </rPh>
    <rPh sb="9" eb="12">
      <t>ゲスイドウ</t>
    </rPh>
    <rPh sb="16" eb="21">
      <t>チキュウオンダンカ</t>
    </rPh>
    <rPh sb="21" eb="23">
      <t>タイサク</t>
    </rPh>
    <rPh sb="29" eb="30">
      <t>サン</t>
    </rPh>
    <rPh sb="34" eb="36">
      <t>サンショウ</t>
    </rPh>
    <phoneticPr fontId="2"/>
  </si>
  <si>
    <t>省エネ技術</t>
    <rPh sb="0" eb="1">
      <t>ショウ</t>
    </rPh>
    <rPh sb="3" eb="5">
      <t>ギジュツ</t>
    </rPh>
    <phoneticPr fontId="2"/>
  </si>
  <si>
    <t>従来技術</t>
    <rPh sb="0" eb="2">
      <t>ジュウライ</t>
    </rPh>
    <rPh sb="2" eb="4">
      <t>ギジュツ</t>
    </rPh>
    <phoneticPr fontId="2"/>
  </si>
  <si>
    <t>消費電力量
(kWh/日)</t>
    <rPh sb="0" eb="2">
      <t>ショウヒ</t>
    </rPh>
    <rPh sb="2" eb="5">
      <t>デンリョクリョウ</t>
    </rPh>
    <rPh sb="11" eb="12">
      <t>ニチ</t>
    </rPh>
    <phoneticPr fontId="2"/>
  </si>
  <si>
    <t>・削減効果出典元 下水道における地球温暖化対策マニュアル 参-8より</t>
    <rPh sb="1" eb="5">
      <t>サクゲンコウカ</t>
    </rPh>
    <rPh sb="5" eb="8">
      <t>シュッテンモト</t>
    </rPh>
    <phoneticPr fontId="2"/>
  </si>
  <si>
    <t>磁気浮上
単段ターボ</t>
    <rPh sb="0" eb="2">
      <t>ジキ</t>
    </rPh>
    <rPh sb="2" eb="4">
      <t>フジョウ</t>
    </rPh>
    <rPh sb="5" eb="7">
      <t>タンダン</t>
    </rPh>
    <phoneticPr fontId="2"/>
  </si>
  <si>
    <t>歯車増速
単段ターボ</t>
    <rPh sb="0" eb="2">
      <t>ハグルマ</t>
    </rPh>
    <rPh sb="2" eb="3">
      <t>ゾウ</t>
    </rPh>
    <rPh sb="5" eb="6">
      <t>タン</t>
    </rPh>
    <rPh sb="6" eb="7">
      <t>ダン</t>
    </rPh>
    <phoneticPr fontId="2"/>
  </si>
  <si>
    <t>従来型
多段ターボ</t>
    <rPh sb="0" eb="2">
      <t>ジュウライ</t>
    </rPh>
    <rPh sb="2" eb="3">
      <t>ガタ</t>
    </rPh>
    <rPh sb="4" eb="6">
      <t>タダン</t>
    </rPh>
    <phoneticPr fontId="2"/>
  </si>
  <si>
    <t>削減率(%)</t>
    <rPh sb="0" eb="2">
      <t>サクゲン</t>
    </rPh>
    <rPh sb="2" eb="3">
      <t>リツ</t>
    </rPh>
    <phoneticPr fontId="2"/>
  </si>
  <si>
    <t>・水処理対策No.3 高効率ブロワの導入(磁気浮上式ターボブロア)</t>
    <rPh sb="1" eb="4">
      <t>ミズショリ</t>
    </rPh>
    <rPh sb="4" eb="6">
      <t>タイサク</t>
    </rPh>
    <phoneticPr fontId="2"/>
  </si>
  <si>
    <t>対策No.3</t>
  </si>
  <si>
    <t xml:space="preserve">       各対策の導入効果は目安値であり、実際の導入に当たっては詳細な検討を必要とします。</t>
    <rPh sb="7" eb="8">
      <t>カク</t>
    </rPh>
    <rPh sb="8" eb="10">
      <t>タイサク</t>
    </rPh>
    <rPh sb="11" eb="15">
      <t>ドウニュウコウカ</t>
    </rPh>
    <rPh sb="16" eb="18">
      <t>メヤス</t>
    </rPh>
    <rPh sb="18" eb="19">
      <t>チ</t>
    </rPh>
    <rPh sb="23" eb="25">
      <t>ジッサイ</t>
    </rPh>
    <rPh sb="26" eb="28">
      <t>ドウニュウ</t>
    </rPh>
    <rPh sb="29" eb="30">
      <t>ア</t>
    </rPh>
    <rPh sb="34" eb="36">
      <t>ショウサイ</t>
    </rPh>
    <rPh sb="37" eb="39">
      <t>ケントウ</t>
    </rPh>
    <rPh sb="40" eb="42">
      <t>ヒツヨウ</t>
    </rPh>
    <phoneticPr fontId="2"/>
  </si>
  <si>
    <t>標準法、高度処理、その他水処理</t>
    <rPh sb="0" eb="3">
      <t>ヒョウジュンホウ</t>
    </rPh>
    <rPh sb="4" eb="8">
      <t>コウドショリ</t>
    </rPh>
    <rPh sb="11" eb="12">
      <t>タ</t>
    </rPh>
    <rPh sb="12" eb="15">
      <t>ミズショリ</t>
    </rPh>
    <phoneticPr fontId="2"/>
  </si>
  <si>
    <t>微細気泡散気装置等の導入による酸素移動効率の上昇</t>
    <rPh sb="0" eb="2">
      <t>ビサイ</t>
    </rPh>
    <rPh sb="2" eb="4">
      <t>キホウ</t>
    </rPh>
    <rPh sb="4" eb="8">
      <t>サンキソウチ</t>
    </rPh>
    <rPh sb="8" eb="9">
      <t>トウ</t>
    </rPh>
    <rPh sb="10" eb="12">
      <t>ドウニュウ</t>
    </rPh>
    <rPh sb="15" eb="17">
      <t>サンソ</t>
    </rPh>
    <rPh sb="17" eb="21">
      <t>イドウコウリツ</t>
    </rPh>
    <rPh sb="22" eb="24">
      <t>ジョウショウ</t>
    </rPh>
    <phoneticPr fontId="2"/>
  </si>
  <si>
    <t>・水処理対策No.4 微細気泡散気装置等の導入による酸素移動効率の上昇</t>
    <rPh sb="1" eb="4">
      <t>ミズショリ</t>
    </rPh>
    <rPh sb="4" eb="6">
      <t>タイサク</t>
    </rPh>
    <phoneticPr fontId="2"/>
  </si>
  <si>
    <t>検討技術の詳細は「下水道における地球温暖化対策マニュアル 参-6」を参照してください</t>
    <rPh sb="0" eb="2">
      <t>ケントウ</t>
    </rPh>
    <rPh sb="2" eb="4">
      <t>ギジュツ</t>
    </rPh>
    <rPh sb="5" eb="7">
      <t>ショウサイ</t>
    </rPh>
    <rPh sb="9" eb="12">
      <t>ゲスイドウ</t>
    </rPh>
    <rPh sb="16" eb="21">
      <t>チキュウオンダンカ</t>
    </rPh>
    <rPh sb="21" eb="23">
      <t>タイサク</t>
    </rPh>
    <rPh sb="29" eb="30">
      <t>サン</t>
    </rPh>
    <rPh sb="34" eb="36">
      <t>サンショウ</t>
    </rPh>
    <phoneticPr fontId="2"/>
  </si>
  <si>
    <t>・削減効果出典元 下水道における地球温暖化対策マニュアル 参-6より</t>
    <rPh sb="1" eb="5">
      <t>サクゲンコウカ</t>
    </rPh>
    <rPh sb="5" eb="8">
      <t>シュッテンモト</t>
    </rPh>
    <phoneticPr fontId="2"/>
  </si>
  <si>
    <t>※削減率はチャンピオンデータですので留意が必要です。</t>
    <rPh sb="1" eb="4">
      <t>サクゲンリツ</t>
    </rPh>
    <rPh sb="18" eb="20">
      <t>リュウイ</t>
    </rPh>
    <rPh sb="21" eb="23">
      <t>ヒツヨウ</t>
    </rPh>
    <phoneticPr fontId="2"/>
  </si>
  <si>
    <t>無酸素槽・嫌気槽撹拌機を省エネ型撹拌機へ変更</t>
    <rPh sb="0" eb="3">
      <t>ムサンソ</t>
    </rPh>
    <rPh sb="3" eb="4">
      <t>ソウ</t>
    </rPh>
    <rPh sb="5" eb="8">
      <t>ケンキソウ</t>
    </rPh>
    <rPh sb="8" eb="11">
      <t>カクハンキ</t>
    </rPh>
    <rPh sb="12" eb="13">
      <t>ショウ</t>
    </rPh>
    <rPh sb="15" eb="16">
      <t>ガタ</t>
    </rPh>
    <rPh sb="16" eb="19">
      <t>カクハンキ</t>
    </rPh>
    <rPh sb="20" eb="22">
      <t>ヘンコウ</t>
    </rPh>
    <phoneticPr fontId="2"/>
  </si>
  <si>
    <t>遠心濃縮機から低動力型への変更</t>
    <rPh sb="0" eb="2">
      <t>エンシン</t>
    </rPh>
    <rPh sb="2" eb="5">
      <t>ノウシュクキ</t>
    </rPh>
    <rPh sb="7" eb="11">
      <t>テイドウリョクガタ</t>
    </rPh>
    <rPh sb="13" eb="15">
      <t>ヘンコウ</t>
    </rPh>
    <phoneticPr fontId="2"/>
  </si>
  <si>
    <t>汚泥処理設備</t>
    <rPh sb="0" eb="4">
      <t>オデイショリ</t>
    </rPh>
    <rPh sb="4" eb="6">
      <t>セツビ</t>
    </rPh>
    <phoneticPr fontId="2"/>
  </si>
  <si>
    <t>遠心濃縮方式の処理場</t>
    <rPh sb="0" eb="2">
      <t>エンシン</t>
    </rPh>
    <rPh sb="2" eb="4">
      <t>ノウシュク</t>
    </rPh>
    <rPh sb="4" eb="6">
      <t>ホウシキ</t>
    </rPh>
    <rPh sb="7" eb="10">
      <t>ショリジョウ</t>
    </rPh>
    <phoneticPr fontId="2"/>
  </si>
  <si>
    <t>・汚泥処理対策No.1 遠心濃縮機から低動力型への変更</t>
    <rPh sb="1" eb="3">
      <t>オデイ</t>
    </rPh>
    <rPh sb="3" eb="5">
      <t>ショリ</t>
    </rPh>
    <rPh sb="5" eb="7">
      <t>タイサク</t>
    </rPh>
    <phoneticPr fontId="2"/>
  </si>
  <si>
    <t>適応条件</t>
    <rPh sb="0" eb="2">
      <t>テキオウ</t>
    </rPh>
    <rPh sb="2" eb="4">
      <t>ジョウケン</t>
    </rPh>
    <phoneticPr fontId="2"/>
  </si>
  <si>
    <t>適応条件</t>
    <rPh sb="0" eb="4">
      <t>テキオウジョウケン</t>
    </rPh>
    <phoneticPr fontId="2"/>
  </si>
  <si>
    <t>標準法、高度処理、その他水処理の処理場</t>
    <rPh sb="0" eb="3">
      <t>ヒョウジュンホウ</t>
    </rPh>
    <rPh sb="4" eb="8">
      <t>コウドショリ</t>
    </rPh>
    <rPh sb="11" eb="12">
      <t>タ</t>
    </rPh>
    <rPh sb="12" eb="15">
      <t>ミズショリ</t>
    </rPh>
    <rPh sb="16" eb="19">
      <t>ショリジョウ</t>
    </rPh>
    <phoneticPr fontId="2"/>
  </si>
  <si>
    <t>OD法の処理場</t>
    <rPh sb="2" eb="3">
      <t>ホウ</t>
    </rPh>
    <rPh sb="4" eb="7">
      <t>ショリジョウ</t>
    </rPh>
    <phoneticPr fontId="2"/>
  </si>
  <si>
    <t>遠心濃縮方式の処理場</t>
    <phoneticPr fontId="2"/>
  </si>
  <si>
    <t>機械濃縮設備の消費電力量</t>
    <rPh sb="0" eb="2">
      <t>キカイ</t>
    </rPh>
    <rPh sb="2" eb="4">
      <t>ノウシュク</t>
    </rPh>
    <rPh sb="4" eb="6">
      <t>セツビ</t>
    </rPh>
    <rPh sb="7" eb="9">
      <t>ショウヒ</t>
    </rPh>
    <rPh sb="9" eb="12">
      <t>デンリョクリョウ</t>
    </rPh>
    <phoneticPr fontId="2"/>
  </si>
  <si>
    <t>処理能力</t>
    <rPh sb="0" eb="4">
      <t>ショリノウリョク</t>
    </rPh>
    <phoneticPr fontId="2"/>
  </si>
  <si>
    <t>小規模
(10,000m³/日)</t>
    <rPh sb="0" eb="3">
      <t>ショウキボ</t>
    </rPh>
    <rPh sb="14" eb="15">
      <t>ニチ</t>
    </rPh>
    <phoneticPr fontId="2"/>
  </si>
  <si>
    <t>中規模
(40,000m³/日)</t>
    <rPh sb="0" eb="3">
      <t>チュウキボ</t>
    </rPh>
    <phoneticPr fontId="2"/>
  </si>
  <si>
    <t>大規模
(100,000m³/日)</t>
    <rPh sb="0" eb="3">
      <t>ダイキボ</t>
    </rPh>
    <phoneticPr fontId="2"/>
  </si>
  <si>
    <t>遠心⇒低動力型の
削減率(%)</t>
    <rPh sb="0" eb="2">
      <t>エンシン</t>
    </rPh>
    <rPh sb="3" eb="7">
      <t>テイドウリョクガタ</t>
    </rPh>
    <rPh sb="9" eb="12">
      <t>サクゲンリツ</t>
    </rPh>
    <phoneticPr fontId="2"/>
  </si>
  <si>
    <t>・削減効果出典元 下水道における地球温暖化対策マニュアル p55より（濃縮設備については焼却あり、高度処理においても同様の削減率)</t>
    <rPh sb="1" eb="5">
      <t>サクゲンコウカ</t>
    </rPh>
    <rPh sb="5" eb="8">
      <t>シュッテンモト</t>
    </rPh>
    <rPh sb="35" eb="37">
      <t>ノウシュク</t>
    </rPh>
    <rPh sb="37" eb="39">
      <t>セツビ</t>
    </rPh>
    <rPh sb="44" eb="46">
      <t>ショウキャク</t>
    </rPh>
    <rPh sb="49" eb="53">
      <t>コウドショリ</t>
    </rPh>
    <rPh sb="58" eb="60">
      <t>ドウヨウ</t>
    </rPh>
    <rPh sb="61" eb="64">
      <t>サクゲンリツ</t>
    </rPh>
    <phoneticPr fontId="2"/>
  </si>
  <si>
    <t>消化設備の無い処理場</t>
    <rPh sb="0" eb="2">
      <t>ショウカ</t>
    </rPh>
    <rPh sb="2" eb="4">
      <t>セツビ</t>
    </rPh>
    <rPh sb="5" eb="6">
      <t>ナ</t>
    </rPh>
    <rPh sb="7" eb="10">
      <t>ショリジョウ</t>
    </rPh>
    <phoneticPr fontId="2"/>
  </si>
  <si>
    <t>・削減効果出典元 下水道における地球温暖化対策マニュアル p55~56より（処理場の全体における削減率を算出した)</t>
    <rPh sb="1" eb="5">
      <t>サクゲンコウカ</t>
    </rPh>
    <rPh sb="5" eb="8">
      <t>シュッテンモト</t>
    </rPh>
    <rPh sb="38" eb="41">
      <t>ショリジョウ</t>
    </rPh>
    <rPh sb="42" eb="44">
      <t>ゼンタイ</t>
    </rPh>
    <rPh sb="48" eb="51">
      <t>サクゲンリツ</t>
    </rPh>
    <rPh sb="52" eb="54">
      <t>サンシュツ</t>
    </rPh>
    <phoneticPr fontId="2"/>
  </si>
  <si>
    <t>区分</t>
    <rPh sb="0" eb="2">
      <t>クブン</t>
    </rPh>
    <phoneticPr fontId="2"/>
  </si>
  <si>
    <t>焼却有</t>
    <rPh sb="0" eb="3">
      <t>ショウキャクアリ</t>
    </rPh>
    <phoneticPr fontId="2"/>
  </si>
  <si>
    <t>中規模(40,000m³/日）</t>
    <phoneticPr fontId="2"/>
  </si>
  <si>
    <t>大規模(10,000m³/日）</t>
    <phoneticPr fontId="2"/>
  </si>
  <si>
    <t>小規模(10,000m³/日)</t>
    <phoneticPr fontId="2"/>
  </si>
  <si>
    <t>高度処理</t>
    <rPh sb="0" eb="2">
      <t>コウド</t>
    </rPh>
    <rPh sb="2" eb="4">
      <t>ショリ</t>
    </rPh>
    <phoneticPr fontId="2"/>
  </si>
  <si>
    <t>ー</t>
  </si>
  <si>
    <t>削減率%</t>
    <rPh sb="0" eb="3">
      <t>サクゲンリツ</t>
    </rPh>
    <phoneticPr fontId="2"/>
  </si>
  <si>
    <t>～100,000m³/日</t>
    <rPh sb="11" eb="12">
      <t>ニチ</t>
    </rPh>
    <phoneticPr fontId="2"/>
  </si>
  <si>
    <t>100,000m³/日～</t>
    <rPh sb="9" eb="10">
      <t>ニチ</t>
    </rPh>
    <phoneticPr fontId="2"/>
  </si>
  <si>
    <t>適応区分目安</t>
    <rPh sb="0" eb="2">
      <t>テキオウ</t>
    </rPh>
    <rPh sb="2" eb="4">
      <t>クブン</t>
    </rPh>
    <rPh sb="4" eb="6">
      <t>メヤス</t>
    </rPh>
    <phoneticPr fontId="2"/>
  </si>
  <si>
    <t>消化設備の無い処理場</t>
    <rPh sb="0" eb="2">
      <t>ショウカ</t>
    </rPh>
    <rPh sb="2" eb="4">
      <t>セツビ</t>
    </rPh>
    <rPh sb="5" eb="6">
      <t>ナ</t>
    </rPh>
    <rPh sb="7" eb="10">
      <t>ショリジョウ</t>
    </rPh>
    <phoneticPr fontId="2"/>
  </si>
  <si>
    <t>処理場全体の消費電力量</t>
    <rPh sb="0" eb="3">
      <t>ショリジョウ</t>
    </rPh>
    <rPh sb="3" eb="5">
      <t>ゼンタイ</t>
    </rPh>
    <rPh sb="6" eb="8">
      <t>ショウヒ</t>
    </rPh>
    <rPh sb="8" eb="11">
      <t>デンリョクリョウ</t>
    </rPh>
    <phoneticPr fontId="2"/>
  </si>
  <si>
    <t>検討技術の詳細は「下水道における地球温暖化対策マニュアル p55,56」を参照してください</t>
    <rPh sb="0" eb="2">
      <t>ケントウ</t>
    </rPh>
    <rPh sb="2" eb="4">
      <t>ギジュツ</t>
    </rPh>
    <rPh sb="5" eb="7">
      <t>ショウサイ</t>
    </rPh>
    <rPh sb="9" eb="12">
      <t>ゲスイドウ</t>
    </rPh>
    <rPh sb="16" eb="21">
      <t>チキュウオンダンカ</t>
    </rPh>
    <rPh sb="21" eb="23">
      <t>タイサク</t>
    </rPh>
    <rPh sb="37" eb="39">
      <t>サンショウ</t>
    </rPh>
    <phoneticPr fontId="2"/>
  </si>
  <si>
    <t>検討技術の詳細は「下水道における地球温暖化対策マニュアル p55」を参照してください</t>
    <rPh sb="0" eb="2">
      <t>ケントウ</t>
    </rPh>
    <rPh sb="2" eb="4">
      <t>ギジュツ</t>
    </rPh>
    <rPh sb="5" eb="7">
      <t>ショウサイ</t>
    </rPh>
    <rPh sb="9" eb="12">
      <t>ゲスイドウ</t>
    </rPh>
    <rPh sb="16" eb="21">
      <t>チキュウオンダンカ</t>
    </rPh>
    <rPh sb="21" eb="23">
      <t>タイサク</t>
    </rPh>
    <rPh sb="34" eb="36">
      <t>サンショウ</t>
    </rPh>
    <phoneticPr fontId="2"/>
  </si>
  <si>
    <t>消化設備及び消化ガス発電の導入</t>
    <rPh sb="0" eb="2">
      <t>ショウカ</t>
    </rPh>
    <rPh sb="2" eb="4">
      <t>セツビ</t>
    </rPh>
    <rPh sb="4" eb="5">
      <t>オヨ</t>
    </rPh>
    <rPh sb="6" eb="8">
      <t>ショウカ</t>
    </rPh>
    <rPh sb="10" eb="12">
      <t>ハツデン</t>
    </rPh>
    <rPh sb="13" eb="15">
      <t>ドウニュウ</t>
    </rPh>
    <phoneticPr fontId="2"/>
  </si>
  <si>
    <t>・汚泥処理対策No.2 消化設備及び消化ガス発電の導入</t>
    <rPh sb="1" eb="3">
      <t>オデイ</t>
    </rPh>
    <rPh sb="3" eb="5">
      <t>ショリ</t>
    </rPh>
    <rPh sb="5" eb="7">
      <t>タイサク</t>
    </rPh>
    <phoneticPr fontId="2"/>
  </si>
  <si>
    <t>・汚泥処理対策リスト</t>
    <rPh sb="1" eb="3">
      <t>オデイ</t>
    </rPh>
    <rPh sb="3" eb="5">
      <t>ショリ</t>
    </rPh>
    <rPh sb="5" eb="7">
      <t>タイサク</t>
    </rPh>
    <phoneticPr fontId="2"/>
  </si>
  <si>
    <t>・削減効果出典元 下水処理場のエネルギー最適化に向けた省エネ技術導入マニュアル（案）  p92,94,96より</t>
    <rPh sb="1" eb="5">
      <t>サクゲンコウカ</t>
    </rPh>
    <rPh sb="5" eb="8">
      <t>シュッテンモト</t>
    </rPh>
    <phoneticPr fontId="2"/>
  </si>
  <si>
    <t>高効率型遠心脱水機</t>
    <rPh sb="0" eb="3">
      <t>コウコウリツ</t>
    </rPh>
    <rPh sb="3" eb="4">
      <t>ガタ</t>
    </rPh>
    <rPh sb="4" eb="9">
      <t>エンシンダッスイキ</t>
    </rPh>
    <phoneticPr fontId="2"/>
  </si>
  <si>
    <t>日最大汚水量</t>
    <rPh sb="0" eb="3">
      <t>ニチサイダイ</t>
    </rPh>
    <rPh sb="3" eb="6">
      <t>オスイリョウ</t>
    </rPh>
    <phoneticPr fontId="2"/>
  </si>
  <si>
    <t>3万m³/日</t>
    <rPh sb="1" eb="2">
      <t>マン</t>
    </rPh>
    <rPh sb="5" eb="6">
      <t>ニチ</t>
    </rPh>
    <phoneticPr fontId="2"/>
  </si>
  <si>
    <t>20万m³/日</t>
    <rPh sb="2" eb="3">
      <t>マン</t>
    </rPh>
    <rPh sb="6" eb="7">
      <t>ニチ</t>
    </rPh>
    <phoneticPr fontId="2"/>
  </si>
  <si>
    <t>直動型遠心脱水機</t>
    <rPh sb="0" eb="2">
      <t>チョクドウ</t>
    </rPh>
    <rPh sb="2" eb="3">
      <t>ガタ</t>
    </rPh>
    <rPh sb="3" eb="5">
      <t>エンシン</t>
    </rPh>
    <rPh sb="5" eb="8">
      <t>ダッスイキ</t>
    </rPh>
    <phoneticPr fontId="2"/>
  </si>
  <si>
    <t>省エネ型遠心脱水機</t>
    <rPh sb="0" eb="1">
      <t>ショウ</t>
    </rPh>
    <rPh sb="3" eb="4">
      <t>ガタ</t>
    </rPh>
    <rPh sb="4" eb="6">
      <t>エンシン</t>
    </rPh>
    <rPh sb="6" eb="9">
      <t>ダッスイキ</t>
    </rPh>
    <phoneticPr fontId="2"/>
  </si>
  <si>
    <t>既設脱水機</t>
    <rPh sb="0" eb="2">
      <t>キセツ</t>
    </rPh>
    <rPh sb="2" eb="5">
      <t>ダッスイキ</t>
    </rPh>
    <phoneticPr fontId="2"/>
  </si>
  <si>
    <t>導入脱水機</t>
    <rPh sb="0" eb="2">
      <t>ドウニュウ</t>
    </rPh>
    <rPh sb="2" eb="5">
      <t>ダッスイキ</t>
    </rPh>
    <phoneticPr fontId="2"/>
  </si>
  <si>
    <t>脱水設備の消費電力量</t>
    <rPh sb="0" eb="2">
      <t>ダッスイ</t>
    </rPh>
    <rPh sb="2" eb="4">
      <t>セツビ</t>
    </rPh>
    <rPh sb="5" eb="10">
      <t>ショウヒデンリョクリョウ</t>
    </rPh>
    <phoneticPr fontId="2"/>
  </si>
  <si>
    <t>高効率型2軸スクリューープレス脱水機</t>
    <rPh sb="0" eb="3">
      <t>コウコウリツ</t>
    </rPh>
    <rPh sb="3" eb="4">
      <t>ガタ</t>
    </rPh>
    <rPh sb="5" eb="6">
      <t>ジク</t>
    </rPh>
    <rPh sb="15" eb="18">
      <t>ダッスイキ</t>
    </rPh>
    <phoneticPr fontId="2"/>
  </si>
  <si>
    <t>遠心脱水機から高効率脱水機への変更</t>
    <rPh sb="0" eb="5">
      <t>エンシンダッスイキ</t>
    </rPh>
    <rPh sb="7" eb="10">
      <t>コウコウリツ</t>
    </rPh>
    <rPh sb="10" eb="13">
      <t>ダッスイキ</t>
    </rPh>
    <rPh sb="15" eb="17">
      <t>ヘンコウ</t>
    </rPh>
    <phoneticPr fontId="2"/>
  </si>
  <si>
    <t>遠心脱水方式の処理場</t>
    <rPh sb="0" eb="4">
      <t>エンシンダッスイ</t>
    </rPh>
    <rPh sb="4" eb="6">
      <t>ホウシキ</t>
    </rPh>
    <rPh sb="7" eb="10">
      <t>ショリジョウ</t>
    </rPh>
    <phoneticPr fontId="2"/>
  </si>
  <si>
    <t>・汚泥処理対策No.3 遠心脱水機から高効率脱水機への変更</t>
    <rPh sb="1" eb="3">
      <t>オデイ</t>
    </rPh>
    <rPh sb="3" eb="5">
      <t>ショリ</t>
    </rPh>
    <rPh sb="5" eb="7">
      <t>タイサク</t>
    </rPh>
    <phoneticPr fontId="2"/>
  </si>
  <si>
    <t>対策No.5</t>
  </si>
  <si>
    <t>・削減効果出典元 下水道における地球温暖化対策マニュアル p56より</t>
    <rPh sb="1" eb="5">
      <t>サクゲンコウカ</t>
    </rPh>
    <rPh sb="5" eb="8">
      <t>シュッテンモト</t>
    </rPh>
    <phoneticPr fontId="2"/>
  </si>
  <si>
    <t>撹拌機の消費電力量</t>
    <rPh sb="0" eb="3">
      <t>カクハンキ</t>
    </rPh>
    <rPh sb="4" eb="6">
      <t>ショウヒ</t>
    </rPh>
    <rPh sb="6" eb="9">
      <t>デンリョクリョウ</t>
    </rPh>
    <phoneticPr fontId="2"/>
  </si>
  <si>
    <t>※撹拌機の消費電力量が不明の場合は「消費電力量【千kWh/年】＝電動機容量【kW】×年間稼働時間【時/年】×撹拌機台数【台】×0.7」として簡易的に算出することができます。</t>
    <rPh sb="1" eb="4">
      <t>カクハンキ</t>
    </rPh>
    <rPh sb="5" eb="10">
      <t>ショウヒデンリョクリョウ</t>
    </rPh>
    <rPh sb="11" eb="13">
      <t>フメイ</t>
    </rPh>
    <rPh sb="14" eb="16">
      <t>バアイ</t>
    </rPh>
    <rPh sb="18" eb="20">
      <t>ショウヒ</t>
    </rPh>
    <rPh sb="20" eb="23">
      <t>デンリョクリョウ</t>
    </rPh>
    <rPh sb="24" eb="25">
      <t>セン</t>
    </rPh>
    <rPh sb="29" eb="30">
      <t>ネン</t>
    </rPh>
    <rPh sb="32" eb="37">
      <t>デンドウキヨウリョウ</t>
    </rPh>
    <rPh sb="42" eb="44">
      <t>ネンカン</t>
    </rPh>
    <rPh sb="44" eb="48">
      <t>カドウジカン</t>
    </rPh>
    <rPh sb="49" eb="50">
      <t>ジ</t>
    </rPh>
    <rPh sb="51" eb="52">
      <t>ネン</t>
    </rPh>
    <rPh sb="54" eb="59">
      <t>カクハンキダイスウ</t>
    </rPh>
    <rPh sb="60" eb="61">
      <t>ダイ</t>
    </rPh>
    <rPh sb="70" eb="73">
      <t>カンイテキ</t>
    </rPh>
    <rPh sb="74" eb="76">
      <t>サンシュツ</t>
    </rPh>
    <phoneticPr fontId="2"/>
  </si>
  <si>
    <t>・水処理対策No.5 無酸素槽・嫌気槽撹拌機を省エネ型撹拌機へ変更</t>
    <rPh sb="1" eb="4">
      <t>ミズショリ</t>
    </rPh>
    <rPh sb="4" eb="6">
      <t>タイサク</t>
    </rPh>
    <phoneticPr fontId="2"/>
  </si>
  <si>
    <t>・水処理対策No.6 【B－DASH】ICTを活用した効率的な硝化運転制御の実用化に関する技術の導入</t>
    <rPh sb="1" eb="4">
      <t>ミズショリ</t>
    </rPh>
    <rPh sb="4" eb="6">
      <t>タイサク</t>
    </rPh>
    <phoneticPr fontId="2"/>
  </si>
  <si>
    <t>対策No.6</t>
  </si>
  <si>
    <t>【B－DASH】DHSシステムを用いた水量変動追従型水処理技術</t>
    <phoneticPr fontId="2"/>
  </si>
  <si>
    <t>標準法</t>
    <rPh sb="0" eb="3">
      <t>ヒョウジュンホウ</t>
    </rPh>
    <phoneticPr fontId="2"/>
  </si>
  <si>
    <t>・水処理対策No.7 【B－DASH】DHSシステムを用いた水量変動追従型水処理技術</t>
    <rPh sb="1" eb="4">
      <t>ミズショリ</t>
    </rPh>
    <rPh sb="4" eb="6">
      <t>タイサク</t>
    </rPh>
    <phoneticPr fontId="2"/>
  </si>
  <si>
    <t>対策No.7</t>
  </si>
  <si>
    <t>検討技術の詳細は「DHSシステムを用いた水量変動追従型水処理技術実証事業」におけるガイドラインを参照してください</t>
    <rPh sb="0" eb="2">
      <t>ケントウ</t>
    </rPh>
    <rPh sb="2" eb="4">
      <t>ギジュツ</t>
    </rPh>
    <rPh sb="5" eb="7">
      <t>ショウサイ</t>
    </rPh>
    <rPh sb="48" eb="50">
      <t>サンショウ</t>
    </rPh>
    <phoneticPr fontId="2"/>
  </si>
  <si>
    <t>水処理設備消費電力量</t>
    <rPh sb="0" eb="3">
      <t>ミズショリ</t>
    </rPh>
    <rPh sb="3" eb="5">
      <t>セツビ</t>
    </rPh>
    <rPh sb="5" eb="7">
      <t>ショウヒ</t>
    </rPh>
    <rPh sb="7" eb="10">
      <t>デンリョクリョウ</t>
    </rPh>
    <phoneticPr fontId="2"/>
  </si>
  <si>
    <t>導入系水処理電力</t>
    <rPh sb="0" eb="3">
      <t>ドウニュウケイ</t>
    </rPh>
    <rPh sb="3" eb="6">
      <t>ミズショリ</t>
    </rPh>
    <rPh sb="6" eb="8">
      <t>デンリョク</t>
    </rPh>
    <phoneticPr fontId="2"/>
  </si>
  <si>
    <t>※主ポンプを除く</t>
    <rPh sb="1" eb="2">
      <t>シュ</t>
    </rPh>
    <rPh sb="6" eb="7">
      <t>ノゾ</t>
    </rPh>
    <phoneticPr fontId="2"/>
  </si>
  <si>
    <t>・本技術のイメージ</t>
    <rPh sb="1" eb="2">
      <t>ホン</t>
    </rPh>
    <rPh sb="2" eb="4">
      <t>ギジュツ</t>
    </rPh>
    <phoneticPr fontId="2"/>
  </si>
  <si>
    <t>千kWh/年</t>
    <phoneticPr fontId="2"/>
  </si>
  <si>
    <t>検討技術の詳細は「無曝気循環式水処理技術実証事業」におけるガイドラインを参照してください</t>
    <rPh sb="0" eb="2">
      <t>ケントウ</t>
    </rPh>
    <rPh sb="2" eb="4">
      <t>ギジュツ</t>
    </rPh>
    <rPh sb="5" eb="7">
      <t>ショウサイ</t>
    </rPh>
    <rPh sb="36" eb="38">
      <t>サンショウ</t>
    </rPh>
    <phoneticPr fontId="2"/>
  </si>
  <si>
    <t>・水処理対策No.8 【B－DASH】無曝気循環式水処理技術</t>
    <rPh sb="1" eb="4">
      <t>ミズショリ</t>
    </rPh>
    <rPh sb="4" eb="6">
      <t>タイサク</t>
    </rPh>
    <phoneticPr fontId="2"/>
  </si>
  <si>
    <t>対策No.8</t>
  </si>
  <si>
    <t>【B－DASH】無曝気循環式水処理技術</t>
    <phoneticPr fontId="2"/>
  </si>
  <si>
    <t>・水処理対策No.9 【B－DASH】超高効率固液分離技術</t>
    <rPh sb="1" eb="4">
      <t>ミズショリ</t>
    </rPh>
    <rPh sb="4" eb="6">
      <t>タイサク</t>
    </rPh>
    <phoneticPr fontId="2"/>
  </si>
  <si>
    <t>検討技術の詳細は「超高効率固液分離技術を用いたエネルギーマネジメントシステム技術実証事業」におけるガイドラインを参照してください</t>
    <rPh sb="0" eb="2">
      <t>ケントウ</t>
    </rPh>
    <rPh sb="2" eb="4">
      <t>ギジュツ</t>
    </rPh>
    <rPh sb="5" eb="7">
      <t>ショウサイ</t>
    </rPh>
    <rPh sb="56" eb="58">
      <t>サンショウ</t>
    </rPh>
    <phoneticPr fontId="2"/>
  </si>
  <si>
    <t>・削減効果出典元【B－DASH】超高効率固液分離技術を用いたエネルギーマネジメントシステム技術実証事業ガイドラインp205より</t>
    <rPh sb="1" eb="5">
      <t>サクゲンコウカ</t>
    </rPh>
    <rPh sb="5" eb="8">
      <t>シュッテンモト</t>
    </rPh>
    <phoneticPr fontId="2"/>
  </si>
  <si>
    <t>標準法、高度処理、その他の水処理</t>
    <rPh sb="0" eb="3">
      <t>ヒョウジュンホウ</t>
    </rPh>
    <rPh sb="4" eb="8">
      <t>コウドショリ</t>
    </rPh>
    <rPh sb="11" eb="12">
      <t>タ</t>
    </rPh>
    <rPh sb="13" eb="16">
      <t>ミズショリ</t>
    </rPh>
    <phoneticPr fontId="2"/>
  </si>
  <si>
    <t>・削減効果出典元【B－DASH】DHSシステムを用いた水量変動追従型水処理技術実証事業ガイドラインp42より</t>
    <rPh sb="1" eb="5">
      <t>サクゲンコウカ</t>
    </rPh>
    <rPh sb="5" eb="8">
      <t>シュッテンモト</t>
    </rPh>
    <phoneticPr fontId="2"/>
  </si>
  <si>
    <t>・削減効果出典元【B－DASH】DHSシステムを用いた水量変動追従型水処理技術実証事業ガイドラインp32より</t>
    <rPh sb="1" eb="5">
      <t>サクゲンコウカ</t>
    </rPh>
    <rPh sb="5" eb="8">
      <t>シュッテンモト</t>
    </rPh>
    <phoneticPr fontId="2"/>
  </si>
  <si>
    <t>A2O法</t>
    <rPh sb="3" eb="4">
      <t>ホウ</t>
    </rPh>
    <phoneticPr fontId="2"/>
  </si>
  <si>
    <t>【B－DASH】超高効率固液分離技術</t>
    <phoneticPr fontId="2"/>
  </si>
  <si>
    <t>対策No.9</t>
  </si>
  <si>
    <t>・削減効果出典元【B－DASH】ICTを活用した効率的な硝化運転制御の実用化に関する技術実証事業ガイドラインp125,126より</t>
    <rPh sb="1" eb="5">
      <t>サクゲンコウカ</t>
    </rPh>
    <rPh sb="5" eb="8">
      <t>シュッテンモト</t>
    </rPh>
    <phoneticPr fontId="2"/>
  </si>
  <si>
    <t>検討技術の詳細は「 脱水・燃焼・発電を全体最適化した革新的下水汚泥エネルギー転換システム」を参照してください</t>
    <rPh sb="0" eb="2">
      <t>ケントウ</t>
    </rPh>
    <rPh sb="2" eb="4">
      <t>ギジュツ</t>
    </rPh>
    <rPh sb="5" eb="7">
      <t>ショウサイ</t>
    </rPh>
    <rPh sb="46" eb="48">
      <t>サンショウ</t>
    </rPh>
    <phoneticPr fontId="2"/>
  </si>
  <si>
    <t>諸元値一覧</t>
    <rPh sb="0" eb="2">
      <t>ショゲン</t>
    </rPh>
    <rPh sb="2" eb="3">
      <t>チ</t>
    </rPh>
    <rPh sb="3" eb="5">
      <t>イチラン</t>
    </rPh>
    <phoneticPr fontId="2"/>
  </si>
  <si>
    <t>従来技術緒元</t>
    <rPh sb="0" eb="2">
      <t>ジュウライ</t>
    </rPh>
    <rPh sb="2" eb="4">
      <t>ギジュツ</t>
    </rPh>
    <rPh sb="4" eb="6">
      <t>ショゲン</t>
    </rPh>
    <phoneticPr fontId="2"/>
  </si>
  <si>
    <t>設備規模(wet-t/日)：Xd</t>
    <rPh sb="0" eb="2">
      <t>セツビ</t>
    </rPh>
    <rPh sb="2" eb="4">
      <t>キボ</t>
    </rPh>
    <phoneticPr fontId="2"/>
  </si>
  <si>
    <t>(100≦Xd≦300)</t>
    <phoneticPr fontId="2"/>
  </si>
  <si>
    <r>
      <t>設備規模(m</t>
    </r>
    <r>
      <rPr>
        <vertAlign val="superscript"/>
        <sz val="11"/>
        <color theme="1"/>
        <rFont val="游ゴシック"/>
        <family val="3"/>
        <charset val="128"/>
        <scheme val="minor"/>
      </rPr>
      <t>3</t>
    </r>
    <r>
      <rPr>
        <sz val="11"/>
        <color theme="1"/>
        <rFont val="游ゴシック"/>
        <family val="2"/>
        <charset val="128"/>
        <scheme val="minor"/>
      </rPr>
      <t>-濃縮汚泥/日)：Qd</t>
    </r>
    <rPh sb="0" eb="2">
      <t>セツビ</t>
    </rPh>
    <rPh sb="2" eb="4">
      <t>キボ</t>
    </rPh>
    <rPh sb="8" eb="10">
      <t>ノウシュク</t>
    </rPh>
    <rPh sb="10" eb="12">
      <t>オデイ</t>
    </rPh>
    <phoneticPr fontId="2"/>
  </si>
  <si>
    <t>(自動計算)</t>
    <rPh sb="1" eb="3">
      <t>ジドウ</t>
    </rPh>
    <rPh sb="3" eb="5">
      <t>ケイサン</t>
    </rPh>
    <phoneticPr fontId="2"/>
  </si>
  <si>
    <t>脱水ケーキ含水率（%）</t>
    <rPh sb="0" eb="2">
      <t>ダッスイ</t>
    </rPh>
    <rPh sb="5" eb="8">
      <t>ガンスイリツ</t>
    </rPh>
    <phoneticPr fontId="2"/>
  </si>
  <si>
    <t>(固定値)</t>
    <rPh sb="1" eb="3">
      <t>コテイ</t>
    </rPh>
    <rPh sb="3" eb="4">
      <t>チ</t>
    </rPh>
    <phoneticPr fontId="2"/>
  </si>
  <si>
    <t>脱水ケーキ有機分率（%）</t>
    <rPh sb="0" eb="2">
      <t>ダッスイ</t>
    </rPh>
    <rPh sb="5" eb="7">
      <t>ユウキ</t>
    </rPh>
    <rPh sb="7" eb="9">
      <t>ブンリツ</t>
    </rPh>
    <phoneticPr fontId="2"/>
  </si>
  <si>
    <t>稼働日数(日/年)</t>
    <rPh sb="0" eb="2">
      <t>カドウ</t>
    </rPh>
    <rPh sb="2" eb="4">
      <t>ニッスウ</t>
    </rPh>
    <rPh sb="5" eb="6">
      <t>ヒ</t>
    </rPh>
    <rPh sb="7" eb="8">
      <t>ネン</t>
    </rPh>
    <phoneticPr fontId="2"/>
  </si>
  <si>
    <t>年間処理脱水汚泥量(wet-t/年)：Xy</t>
    <rPh sb="0" eb="2">
      <t>ネンカン</t>
    </rPh>
    <rPh sb="2" eb="4">
      <t>ショリ</t>
    </rPh>
    <rPh sb="4" eb="6">
      <t>ダッスイ</t>
    </rPh>
    <rPh sb="6" eb="9">
      <t>オデイリョウ</t>
    </rPh>
    <rPh sb="16" eb="17">
      <t>ネン</t>
    </rPh>
    <phoneticPr fontId="2"/>
  </si>
  <si>
    <t>エネルギー換算係数</t>
    <rPh sb="5" eb="7">
      <t>カンザン</t>
    </rPh>
    <rPh sb="7" eb="9">
      <t>ケイスウ</t>
    </rPh>
    <phoneticPr fontId="2"/>
  </si>
  <si>
    <t>温室効果ガス(GHG)排出量原単位</t>
    <rPh sb="0" eb="2">
      <t>オンシツ</t>
    </rPh>
    <rPh sb="2" eb="4">
      <t>コウカ</t>
    </rPh>
    <phoneticPr fontId="2"/>
  </si>
  <si>
    <t>年間処理濃縮汚泥量(m3/年)：Qy</t>
    <rPh sb="0" eb="2">
      <t>ネンカン</t>
    </rPh>
    <rPh sb="2" eb="4">
      <t>ショリ</t>
    </rPh>
    <rPh sb="4" eb="6">
      <t>ノウシュク</t>
    </rPh>
    <rPh sb="6" eb="9">
      <t>オデイリョウ</t>
    </rPh>
    <rPh sb="13" eb="14">
      <t>ネン</t>
    </rPh>
    <phoneticPr fontId="2"/>
  </si>
  <si>
    <t>都市ガス</t>
    <rPh sb="0" eb="2">
      <t>トシ</t>
    </rPh>
    <phoneticPr fontId="2"/>
  </si>
  <si>
    <r>
      <t>MJ/Nm</t>
    </r>
    <r>
      <rPr>
        <vertAlign val="superscript"/>
        <sz val="11"/>
        <color theme="1"/>
        <rFont val="游ゴシック"/>
        <family val="3"/>
        <charset val="128"/>
        <scheme val="minor"/>
      </rPr>
      <t>3</t>
    </r>
    <phoneticPr fontId="2"/>
  </si>
  <si>
    <r>
      <t>kg</t>
    </r>
    <r>
      <rPr>
        <sz val="11"/>
        <rFont val="游ゴシック"/>
        <family val="3"/>
        <charset val="128"/>
        <scheme val="minor"/>
      </rPr>
      <t>-CO</t>
    </r>
    <r>
      <rPr>
        <vertAlign val="subscript"/>
        <sz val="11"/>
        <rFont val="游ゴシック"/>
        <family val="3"/>
        <charset val="128"/>
        <scheme val="minor"/>
      </rPr>
      <t>2</t>
    </r>
    <r>
      <rPr>
        <sz val="11"/>
        <rFont val="游ゴシック"/>
        <family val="3"/>
        <charset val="128"/>
        <scheme val="minor"/>
      </rPr>
      <t>/m</t>
    </r>
    <r>
      <rPr>
        <vertAlign val="superscript"/>
        <sz val="11"/>
        <rFont val="游ゴシック"/>
        <family val="3"/>
        <charset val="128"/>
        <scheme val="minor"/>
      </rPr>
      <t>3</t>
    </r>
    <phoneticPr fontId="2"/>
  </si>
  <si>
    <t>(千m3/年）</t>
    <rPh sb="1" eb="2">
      <t>セン</t>
    </rPh>
    <rPh sb="5" eb="6">
      <t>ネン</t>
    </rPh>
    <phoneticPr fontId="2"/>
  </si>
  <si>
    <r>
      <rPr>
        <sz val="11"/>
        <color theme="1"/>
        <rFont val="游ゴシック"/>
        <family val="3"/>
        <charset val="128"/>
        <scheme val="minor"/>
      </rPr>
      <t>(</t>
    </r>
    <r>
      <rPr>
        <sz val="11"/>
        <color theme="1"/>
        <rFont val="游ゴシック"/>
        <family val="2"/>
        <charset val="128"/>
        <scheme val="minor"/>
      </rPr>
      <t>MJ/Nm</t>
    </r>
    <r>
      <rPr>
        <vertAlign val="superscript"/>
        <sz val="11"/>
        <color theme="1"/>
        <rFont val="游ゴシック"/>
        <family val="3"/>
        <charset val="128"/>
        <scheme val="minor"/>
      </rPr>
      <t>3)</t>
    </r>
    <phoneticPr fontId="2"/>
  </si>
  <si>
    <r>
      <t>脱水設備電力使用量(MWh/年)</t>
    </r>
    <r>
      <rPr>
        <vertAlign val="superscript"/>
        <sz val="11"/>
        <color theme="1"/>
        <rFont val="游ゴシック"/>
        <family val="3"/>
        <charset val="128"/>
        <scheme val="minor"/>
      </rPr>
      <t>※1</t>
    </r>
    <rPh sb="0" eb="2">
      <t>ダッスイ</t>
    </rPh>
    <rPh sb="2" eb="4">
      <t>セツビ</t>
    </rPh>
    <rPh sb="4" eb="6">
      <t>デンリョク</t>
    </rPh>
    <rPh sb="6" eb="9">
      <t>シヨウリョウ</t>
    </rPh>
    <rPh sb="14" eb="15">
      <t>ネン</t>
    </rPh>
    <phoneticPr fontId="2"/>
  </si>
  <si>
    <t>消化ガス</t>
    <rPh sb="0" eb="2">
      <t>ショウカ</t>
    </rPh>
    <phoneticPr fontId="2"/>
  </si>
  <si>
    <r>
      <t>kg-CO</t>
    </r>
    <r>
      <rPr>
        <vertAlign val="subscript"/>
        <sz val="11"/>
        <rFont val="游ゴシック"/>
        <family val="3"/>
        <charset val="128"/>
        <scheme val="minor"/>
      </rPr>
      <t>2</t>
    </r>
    <r>
      <rPr>
        <sz val="11"/>
        <rFont val="游ゴシック"/>
        <family val="3"/>
        <charset val="128"/>
        <scheme val="minor"/>
      </rPr>
      <t>/m</t>
    </r>
    <r>
      <rPr>
        <vertAlign val="superscript"/>
        <sz val="11"/>
        <rFont val="游ゴシック"/>
        <family val="3"/>
        <charset val="128"/>
        <scheme val="minor"/>
      </rPr>
      <t>3</t>
    </r>
    <phoneticPr fontId="2"/>
  </si>
  <si>
    <r>
      <t>焼却設備電力使用量(MWh/年)</t>
    </r>
    <r>
      <rPr>
        <vertAlign val="superscript"/>
        <sz val="11"/>
        <color theme="1"/>
        <rFont val="游ゴシック"/>
        <family val="3"/>
        <charset val="128"/>
        <scheme val="minor"/>
      </rPr>
      <t>※1</t>
    </r>
    <rPh sb="0" eb="2">
      <t>ショウキャク</t>
    </rPh>
    <rPh sb="2" eb="4">
      <t>セツビ</t>
    </rPh>
    <rPh sb="4" eb="6">
      <t>デンリョク</t>
    </rPh>
    <rPh sb="6" eb="9">
      <t>シヨウリョウ</t>
    </rPh>
    <rPh sb="14" eb="15">
      <t>ネン</t>
    </rPh>
    <phoneticPr fontId="2"/>
  </si>
  <si>
    <t>灯油</t>
    <rPh sb="0" eb="2">
      <t>トウユ</t>
    </rPh>
    <phoneticPr fontId="2"/>
  </si>
  <si>
    <t>MJ/L</t>
    <phoneticPr fontId="2"/>
  </si>
  <si>
    <r>
      <t>kg-CO</t>
    </r>
    <r>
      <rPr>
        <vertAlign val="subscript"/>
        <sz val="11"/>
        <rFont val="游ゴシック"/>
        <family val="3"/>
        <charset val="128"/>
        <scheme val="minor"/>
      </rPr>
      <t>2</t>
    </r>
    <r>
      <rPr>
        <sz val="11"/>
        <rFont val="游ゴシック"/>
        <family val="3"/>
        <charset val="128"/>
        <scheme val="minor"/>
      </rPr>
      <t>/L</t>
    </r>
    <phoneticPr fontId="2"/>
  </si>
  <si>
    <t>(kL/年）</t>
    <rPh sb="4" eb="5">
      <t>ネン</t>
    </rPh>
    <phoneticPr fontId="2"/>
  </si>
  <si>
    <t>(MJ/L)</t>
    <phoneticPr fontId="2"/>
  </si>
  <si>
    <r>
      <t>補助燃料種類</t>
    </r>
    <r>
      <rPr>
        <vertAlign val="superscript"/>
        <sz val="11"/>
        <rFont val="游ゴシック"/>
        <family val="3"/>
        <charset val="128"/>
        <scheme val="minor"/>
      </rPr>
      <t>※1</t>
    </r>
    <rPh sb="0" eb="2">
      <t>ホジョ</t>
    </rPh>
    <rPh sb="2" eb="4">
      <t>ネンリョウ</t>
    </rPh>
    <rPh sb="4" eb="6">
      <t>シュルイ</t>
    </rPh>
    <phoneticPr fontId="2"/>
  </si>
  <si>
    <t>→</t>
    <phoneticPr fontId="2"/>
  </si>
  <si>
    <t>エネルギー換算係数(自動入力)</t>
    <rPh sb="5" eb="7">
      <t>カンザン</t>
    </rPh>
    <rPh sb="7" eb="9">
      <t>ケイスウ</t>
    </rPh>
    <phoneticPr fontId="2"/>
  </si>
  <si>
    <t>A重油</t>
    <rPh sb="1" eb="3">
      <t>ジュウユ</t>
    </rPh>
    <phoneticPr fontId="2"/>
  </si>
  <si>
    <r>
      <t>補助燃料使用量(kLor千m3/年)</t>
    </r>
    <r>
      <rPr>
        <vertAlign val="superscript"/>
        <sz val="11"/>
        <rFont val="游ゴシック"/>
        <family val="3"/>
        <charset val="128"/>
        <scheme val="minor"/>
      </rPr>
      <t>※1</t>
    </r>
    <rPh sb="0" eb="2">
      <t>ホジョ</t>
    </rPh>
    <rPh sb="2" eb="4">
      <t>ネンリョウ</t>
    </rPh>
    <rPh sb="4" eb="7">
      <t>シヨウリョウ</t>
    </rPh>
    <rPh sb="12" eb="13">
      <t>セン</t>
    </rPh>
    <rPh sb="16" eb="17">
      <t>ネン</t>
    </rPh>
    <phoneticPr fontId="2"/>
  </si>
  <si>
    <t>温室効果ガス(GHG)排出量原単位(自動入力)</t>
    <rPh sb="0" eb="2">
      <t>オンシツ</t>
    </rPh>
    <rPh sb="2" eb="4">
      <t>コウカ</t>
    </rPh>
    <rPh sb="11" eb="13">
      <t>ハイシュツ</t>
    </rPh>
    <rPh sb="13" eb="14">
      <t>リョウ</t>
    </rPh>
    <rPh sb="14" eb="17">
      <t>ゲンタンイ</t>
    </rPh>
    <rPh sb="18" eb="20">
      <t>ジドウ</t>
    </rPh>
    <rPh sb="20" eb="22">
      <t>ニュウリョク</t>
    </rPh>
    <phoneticPr fontId="2"/>
  </si>
  <si>
    <t>※1 検討処理場の実績値を入力する。消化ガス(バイオマス系燃料)は試算対象外である。</t>
    <rPh sb="5" eb="8">
      <t>ショリジョウ</t>
    </rPh>
    <rPh sb="13" eb="15">
      <t>ニュウリョク</t>
    </rPh>
    <phoneticPr fontId="2"/>
  </si>
  <si>
    <t>＜その他条件、本Excel使用時の注意事項＞</t>
    <rPh sb="3" eb="4">
      <t>タ</t>
    </rPh>
    <rPh sb="4" eb="6">
      <t>ジョウケン</t>
    </rPh>
    <rPh sb="7" eb="8">
      <t>ホン</t>
    </rPh>
    <rPh sb="13" eb="16">
      <t>シヨウジ</t>
    </rPh>
    <rPh sb="17" eb="19">
      <t>チュウイ</t>
    </rPh>
    <rPh sb="19" eb="21">
      <t>ジコウ</t>
    </rPh>
    <phoneticPr fontId="2"/>
  </si>
  <si>
    <t>・</t>
    <phoneticPr fontId="2"/>
  </si>
  <si>
    <t>本Excelでは、主に施設規模を変えた場合における本技術の導入効果を試算する。汚泥性状等の試算の前提条件については、ガイドラインに基づくものとする。</t>
    <rPh sb="0" eb="1">
      <t>ホン</t>
    </rPh>
    <rPh sb="9" eb="10">
      <t>オモ</t>
    </rPh>
    <rPh sb="11" eb="13">
      <t>シセツ</t>
    </rPh>
    <rPh sb="13" eb="15">
      <t>キボ</t>
    </rPh>
    <rPh sb="16" eb="17">
      <t>カ</t>
    </rPh>
    <rPh sb="19" eb="21">
      <t>バアイ</t>
    </rPh>
    <rPh sb="25" eb="26">
      <t>ホン</t>
    </rPh>
    <rPh sb="26" eb="28">
      <t>ギジュツ</t>
    </rPh>
    <rPh sb="29" eb="31">
      <t>ドウニュウ</t>
    </rPh>
    <rPh sb="31" eb="33">
      <t>コウカ</t>
    </rPh>
    <rPh sb="34" eb="36">
      <t>シサン</t>
    </rPh>
    <rPh sb="39" eb="41">
      <t>オデイ</t>
    </rPh>
    <rPh sb="41" eb="43">
      <t>セイジョウ</t>
    </rPh>
    <rPh sb="43" eb="44">
      <t>ナド</t>
    </rPh>
    <rPh sb="48" eb="50">
      <t>ゼンテイ</t>
    </rPh>
    <rPh sb="50" eb="52">
      <t>ジョウケン</t>
    </rPh>
    <rPh sb="65" eb="66">
      <t>モト</t>
    </rPh>
    <phoneticPr fontId="2"/>
  </si>
  <si>
    <t>※汚泥組成、発熱量、負荷率、二次処理水温度等については、ガイドラインp31）表2-7「評価の前提条件」に記載あり</t>
    <rPh sb="52" eb="54">
      <t>キサイ</t>
    </rPh>
    <phoneticPr fontId="2"/>
  </si>
  <si>
    <t>検討処理場における諸条件がガイドライン記載の前提条件と異なる場合は、導入効果が本試算値と大きく異なる場合があるため注意が必要である。</t>
    <rPh sb="0" eb="2">
      <t>ケントウ</t>
    </rPh>
    <rPh sb="2" eb="5">
      <t>ショリジョウ</t>
    </rPh>
    <rPh sb="9" eb="12">
      <t>ショジョウケン</t>
    </rPh>
    <rPh sb="19" eb="21">
      <t>キサイ</t>
    </rPh>
    <rPh sb="22" eb="24">
      <t>ゼンテイ</t>
    </rPh>
    <rPh sb="24" eb="26">
      <t>ジョウケン</t>
    </rPh>
    <rPh sb="27" eb="28">
      <t>コト</t>
    </rPh>
    <rPh sb="30" eb="32">
      <t>バアイ</t>
    </rPh>
    <rPh sb="34" eb="36">
      <t>ドウニュウ</t>
    </rPh>
    <rPh sb="36" eb="38">
      <t>コウカ</t>
    </rPh>
    <rPh sb="39" eb="40">
      <t>ホン</t>
    </rPh>
    <rPh sb="40" eb="43">
      <t>シサンチ</t>
    </rPh>
    <rPh sb="44" eb="45">
      <t>オオ</t>
    </rPh>
    <rPh sb="47" eb="48">
      <t>コト</t>
    </rPh>
    <rPh sb="50" eb="52">
      <t>バアイ</t>
    </rPh>
    <rPh sb="57" eb="59">
      <t>チュウイ</t>
    </rPh>
    <rPh sb="60" eb="62">
      <t>ヒツヨウ</t>
    </rPh>
    <phoneticPr fontId="2"/>
  </si>
  <si>
    <t>そのような場合は、ガイドライン資料編に記載の「Ⅱ-2.様々な条件下における導入効果の試算方法と追加費用」を参考とすること。</t>
    <rPh sb="5" eb="7">
      <t>バアイ</t>
    </rPh>
    <rPh sb="15" eb="18">
      <t>シリョウヘン</t>
    </rPh>
    <rPh sb="19" eb="21">
      <t>キサイ</t>
    </rPh>
    <rPh sb="27" eb="29">
      <t>サマザマ</t>
    </rPh>
    <rPh sb="30" eb="32">
      <t>ジョウケン</t>
    </rPh>
    <rPh sb="32" eb="33">
      <t>カ</t>
    </rPh>
    <rPh sb="37" eb="39">
      <t>ドウニュウ</t>
    </rPh>
    <rPh sb="39" eb="41">
      <t>コウカ</t>
    </rPh>
    <rPh sb="42" eb="44">
      <t>シサン</t>
    </rPh>
    <rPh sb="44" eb="46">
      <t>ホウホウ</t>
    </rPh>
    <rPh sb="47" eb="49">
      <t>ツイカ</t>
    </rPh>
    <rPh sb="49" eb="51">
      <t>ヒヨウ</t>
    </rPh>
    <rPh sb="53" eb="55">
      <t>サンコウ</t>
    </rPh>
    <phoneticPr fontId="2"/>
  </si>
  <si>
    <t>また、消化汚泥を検討対象とする場合は、ガイドラインに記載のケーススタディ（CASE-5）も参考となる。</t>
    <rPh sb="3" eb="5">
      <t>ショウカ</t>
    </rPh>
    <rPh sb="5" eb="7">
      <t>オデイ</t>
    </rPh>
    <rPh sb="8" eb="10">
      <t>ケントウ</t>
    </rPh>
    <rPh sb="10" eb="12">
      <t>タイショウ</t>
    </rPh>
    <rPh sb="15" eb="17">
      <t>バアイ</t>
    </rPh>
    <rPh sb="26" eb="28">
      <t>キサイ</t>
    </rPh>
    <rPh sb="45" eb="47">
      <t>サンコウ</t>
    </rPh>
    <phoneticPr fontId="2"/>
  </si>
  <si>
    <t>本革新的技術は、脱水、燃焼、発電の３技術を個別導入することも可能であるが、本Excelは３技術の一括導入時の効果算定を行うものである。</t>
    <rPh sb="0" eb="1">
      <t>ホン</t>
    </rPh>
    <rPh sb="1" eb="4">
      <t>カクシンテキ</t>
    </rPh>
    <rPh sb="4" eb="6">
      <t>ギジュツ</t>
    </rPh>
    <rPh sb="8" eb="10">
      <t>ダッスイ</t>
    </rPh>
    <rPh sb="11" eb="13">
      <t>ネンショウ</t>
    </rPh>
    <rPh sb="14" eb="16">
      <t>ハツデン</t>
    </rPh>
    <rPh sb="18" eb="20">
      <t>ギジュツ</t>
    </rPh>
    <rPh sb="21" eb="23">
      <t>コベツ</t>
    </rPh>
    <rPh sb="23" eb="25">
      <t>ドウニュウ</t>
    </rPh>
    <rPh sb="30" eb="32">
      <t>カノウ</t>
    </rPh>
    <rPh sb="37" eb="38">
      <t>ホン</t>
    </rPh>
    <rPh sb="45" eb="47">
      <t>ギジュツ</t>
    </rPh>
    <rPh sb="48" eb="50">
      <t>イッカツ</t>
    </rPh>
    <rPh sb="50" eb="52">
      <t>ドウニュウ</t>
    </rPh>
    <rPh sb="52" eb="53">
      <t>ジ</t>
    </rPh>
    <rPh sb="54" eb="56">
      <t>コウカ</t>
    </rPh>
    <rPh sb="56" eb="58">
      <t>サンテイ</t>
    </rPh>
    <rPh sb="59" eb="60">
      <t>オコナ</t>
    </rPh>
    <phoneticPr fontId="2"/>
  </si>
  <si>
    <t>各技術の個別導入および段階的導入時の効果算定については、ガイドラインに掲載のケーススタディ（CASE-2～CASE-4）を参照のこと。</t>
    <rPh sb="0" eb="1">
      <t>カク</t>
    </rPh>
    <rPh sb="1" eb="3">
      <t>ギジュツ</t>
    </rPh>
    <rPh sb="4" eb="6">
      <t>コベツ</t>
    </rPh>
    <rPh sb="6" eb="8">
      <t>ドウニュウ</t>
    </rPh>
    <rPh sb="11" eb="14">
      <t>ダンカイテキ</t>
    </rPh>
    <rPh sb="14" eb="16">
      <t>ドウニュウ</t>
    </rPh>
    <rPh sb="16" eb="17">
      <t>ジ</t>
    </rPh>
    <rPh sb="18" eb="20">
      <t>コウカ</t>
    </rPh>
    <rPh sb="20" eb="22">
      <t>サンテイ</t>
    </rPh>
    <rPh sb="35" eb="37">
      <t>ケイサイ</t>
    </rPh>
    <rPh sb="61" eb="63">
      <t>サンショウ</t>
    </rPh>
    <phoneticPr fontId="2"/>
  </si>
  <si>
    <t>発電設備のみの導入判定を行う場合は、ガイドラインp176）表資3-9「発電設備の運転利益（規模別）」等も参考とできる。</t>
    <rPh sb="0" eb="2">
      <t>ハツデン</t>
    </rPh>
    <rPh sb="2" eb="4">
      <t>セツビ</t>
    </rPh>
    <rPh sb="7" eb="9">
      <t>ドウニュウ</t>
    </rPh>
    <rPh sb="9" eb="11">
      <t>ハンテイ</t>
    </rPh>
    <rPh sb="12" eb="13">
      <t>オコナ</t>
    </rPh>
    <rPh sb="14" eb="16">
      <t>バアイ</t>
    </rPh>
    <rPh sb="29" eb="30">
      <t>ヒョウ</t>
    </rPh>
    <rPh sb="30" eb="31">
      <t>シ</t>
    </rPh>
    <rPh sb="35" eb="37">
      <t>ハツデン</t>
    </rPh>
    <rPh sb="37" eb="39">
      <t>セツビ</t>
    </rPh>
    <rPh sb="40" eb="42">
      <t>ウンテン</t>
    </rPh>
    <rPh sb="42" eb="44">
      <t>リエキ</t>
    </rPh>
    <rPh sb="45" eb="48">
      <t>キボベツ</t>
    </rPh>
    <rPh sb="50" eb="51">
      <t>ナド</t>
    </rPh>
    <rPh sb="52" eb="54">
      <t>サンコウ</t>
    </rPh>
    <phoneticPr fontId="2"/>
  </si>
  <si>
    <r>
      <t>総費用（年価換算値）※革新的技術</t>
    </r>
    <r>
      <rPr>
        <sz val="20"/>
        <color rgb="FFFF0000"/>
        <rFont val="游ゴシック"/>
        <family val="3"/>
        <charset val="128"/>
        <scheme val="minor"/>
      </rPr>
      <t>（脱水・燃焼・発電の３設備を一括で新設導入する場合）</t>
    </r>
    <rPh sb="0" eb="3">
      <t>ソウヒヨウ</t>
    </rPh>
    <rPh sb="4" eb="6">
      <t>ネンカ</t>
    </rPh>
    <rPh sb="6" eb="9">
      <t>カンサンチ</t>
    </rPh>
    <rPh sb="11" eb="14">
      <t>カクシンテキ</t>
    </rPh>
    <rPh sb="14" eb="16">
      <t>ギジュツ</t>
    </rPh>
    <rPh sb="17" eb="19">
      <t>ダッスイ</t>
    </rPh>
    <rPh sb="20" eb="22">
      <t>ネンショウ</t>
    </rPh>
    <rPh sb="23" eb="25">
      <t>ハツデン</t>
    </rPh>
    <rPh sb="27" eb="29">
      <t>セツビ</t>
    </rPh>
    <rPh sb="30" eb="32">
      <t>イッカツ</t>
    </rPh>
    <rPh sb="33" eb="35">
      <t>シンセツ</t>
    </rPh>
    <rPh sb="35" eb="37">
      <t>ドウニュウ</t>
    </rPh>
    <rPh sb="39" eb="41">
      <t>バアイ</t>
    </rPh>
    <phoneticPr fontId="2"/>
  </si>
  <si>
    <t>技術区分</t>
    <rPh sb="0" eb="2">
      <t>ギジュツ</t>
    </rPh>
    <rPh sb="2" eb="4">
      <t>クブン</t>
    </rPh>
    <phoneticPr fontId="2"/>
  </si>
  <si>
    <t>設備名称</t>
    <rPh sb="0" eb="2">
      <t>セツビ</t>
    </rPh>
    <rPh sb="2" eb="4">
      <t>メイショウ</t>
    </rPh>
    <phoneticPr fontId="2"/>
  </si>
  <si>
    <t>費用関数</t>
    <rPh sb="0" eb="2">
      <t>ヒヨウ</t>
    </rPh>
    <rPh sb="2" eb="4">
      <t>カンスウ</t>
    </rPh>
    <phoneticPr fontId="2"/>
  </si>
  <si>
    <t>費用</t>
    <rPh sb="0" eb="2">
      <t>ヒヨウ</t>
    </rPh>
    <phoneticPr fontId="2"/>
  </si>
  <si>
    <t>備考</t>
    <rPh sb="0" eb="2">
      <t>ビコウ</t>
    </rPh>
    <phoneticPr fontId="2"/>
  </si>
  <si>
    <t>脱水設備</t>
    <rPh sb="0" eb="2">
      <t>ダッスイ</t>
    </rPh>
    <rPh sb="2" eb="4">
      <t>セツビ</t>
    </rPh>
    <phoneticPr fontId="2"/>
  </si>
  <si>
    <t>土木建築費</t>
    <rPh sb="0" eb="2">
      <t>ドボク</t>
    </rPh>
    <rPh sb="2" eb="4">
      <t>ケンチク</t>
    </rPh>
    <rPh sb="4" eb="5">
      <t>ヒ</t>
    </rPh>
    <phoneticPr fontId="2"/>
  </si>
  <si>
    <t>百万円</t>
    <rPh sb="0" eb="2">
      <t>ヒャクマン</t>
    </rPh>
    <rPh sb="2" eb="3">
      <t>エン</t>
    </rPh>
    <phoneticPr fontId="2"/>
  </si>
  <si>
    <r>
      <t>Y=0.227Qd</t>
    </r>
    <r>
      <rPr>
        <vertAlign val="superscript"/>
        <sz val="11"/>
        <rFont val="游ゴシック"/>
        <family val="3"/>
        <charset val="128"/>
        <scheme val="minor"/>
      </rPr>
      <t>0.444</t>
    </r>
    <r>
      <rPr>
        <sz val="11"/>
        <rFont val="游ゴシック"/>
        <family val="3"/>
        <charset val="128"/>
        <scheme val="minor"/>
      </rPr>
      <t>×100×デフレータ</t>
    </r>
    <phoneticPr fontId="2"/>
  </si>
  <si>
    <r>
      <t>㋐、Qd：設備規模(m</t>
    </r>
    <r>
      <rPr>
        <vertAlign val="superscript"/>
        <sz val="11"/>
        <color theme="1"/>
        <rFont val="游ゴシック"/>
        <family val="3"/>
        <charset val="128"/>
        <scheme val="minor"/>
      </rPr>
      <t>3</t>
    </r>
    <r>
      <rPr>
        <sz val="11"/>
        <color theme="1"/>
        <rFont val="游ゴシック"/>
        <family val="2"/>
        <charset val="128"/>
        <scheme val="minor"/>
      </rPr>
      <t>-濃縮汚泥/日)</t>
    </r>
    <rPh sb="5" eb="7">
      <t>セツビ</t>
    </rPh>
    <rPh sb="7" eb="9">
      <t>キボ</t>
    </rPh>
    <rPh sb="13" eb="15">
      <t>ノウシュク</t>
    </rPh>
    <rPh sb="15" eb="17">
      <t>オデイ</t>
    </rPh>
    <rPh sb="18" eb="19">
      <t>ニチ</t>
    </rPh>
    <phoneticPr fontId="2"/>
  </si>
  <si>
    <t>機械建設費</t>
    <rPh sb="0" eb="2">
      <t>キカイ</t>
    </rPh>
    <rPh sb="2" eb="5">
      <t>ケンセツヒ</t>
    </rPh>
    <phoneticPr fontId="2"/>
  </si>
  <si>
    <r>
      <t>Y=0.434Qd</t>
    </r>
    <r>
      <rPr>
        <vertAlign val="superscript"/>
        <sz val="11"/>
        <rFont val="游ゴシック"/>
        <family val="3"/>
        <charset val="128"/>
        <scheme val="minor"/>
      </rPr>
      <t>0.373</t>
    </r>
    <r>
      <rPr>
        <sz val="11"/>
        <rFont val="游ゴシック"/>
        <family val="3"/>
        <charset val="128"/>
        <scheme val="minor"/>
      </rPr>
      <t>×100×デフレータ</t>
    </r>
    <phoneticPr fontId="2"/>
  </si>
  <si>
    <t>㋑</t>
    <phoneticPr fontId="2"/>
  </si>
  <si>
    <t>電気建設費</t>
    <rPh sb="0" eb="2">
      <t>デンキ</t>
    </rPh>
    <rPh sb="2" eb="4">
      <t>ケンセツ</t>
    </rPh>
    <rPh sb="4" eb="5">
      <t>ヒ</t>
    </rPh>
    <phoneticPr fontId="2"/>
  </si>
  <si>
    <t>焼却設備・電気建設費に含む</t>
    <phoneticPr fontId="2"/>
  </si>
  <si>
    <t>維持管理費</t>
    <rPh sb="0" eb="2">
      <t>イジ</t>
    </rPh>
    <rPh sb="2" eb="5">
      <t>カンリヒ</t>
    </rPh>
    <phoneticPr fontId="2"/>
  </si>
  <si>
    <t>百万円/年</t>
    <rPh sb="0" eb="2">
      <t>ヒャクマン</t>
    </rPh>
    <rPh sb="2" eb="3">
      <t>エン</t>
    </rPh>
    <rPh sb="4" eb="5">
      <t>ネン</t>
    </rPh>
    <phoneticPr fontId="2"/>
  </si>
  <si>
    <r>
      <t>Y=0.039Qy</t>
    </r>
    <r>
      <rPr>
        <vertAlign val="superscript"/>
        <sz val="11"/>
        <rFont val="游ゴシック"/>
        <family val="3"/>
        <charset val="128"/>
        <scheme val="minor"/>
      </rPr>
      <t>0.596</t>
    </r>
    <r>
      <rPr>
        <sz val="11"/>
        <rFont val="游ゴシック"/>
        <family val="3"/>
        <charset val="128"/>
        <scheme val="minor"/>
      </rPr>
      <t>×100</t>
    </r>
    <phoneticPr fontId="2"/>
  </si>
  <si>
    <t>①、Qy：年間処理濃縮汚泥量(m3-濃縮汚泥/年)</t>
    <rPh sb="5" eb="7">
      <t>ネンカン</t>
    </rPh>
    <rPh sb="7" eb="9">
      <t>ショリ</t>
    </rPh>
    <rPh sb="9" eb="11">
      <t>ノウシュク</t>
    </rPh>
    <rPh sb="11" eb="13">
      <t>オデイ</t>
    </rPh>
    <rPh sb="13" eb="14">
      <t>リョウ</t>
    </rPh>
    <rPh sb="23" eb="24">
      <t>ネン</t>
    </rPh>
    <phoneticPr fontId="2"/>
  </si>
  <si>
    <t>焼却設備</t>
    <rPh sb="0" eb="2">
      <t>ショウキャク</t>
    </rPh>
    <rPh sb="2" eb="4">
      <t>セツビ</t>
    </rPh>
    <phoneticPr fontId="2"/>
  </si>
  <si>
    <r>
      <t>Y=2.426Xd</t>
    </r>
    <r>
      <rPr>
        <vertAlign val="superscript"/>
        <sz val="11"/>
        <rFont val="游ゴシック"/>
        <family val="3"/>
        <charset val="128"/>
        <scheme val="minor"/>
      </rPr>
      <t>0.0094</t>
    </r>
    <r>
      <rPr>
        <sz val="11"/>
        <rFont val="游ゴシック"/>
        <family val="3"/>
        <charset val="128"/>
        <scheme val="minor"/>
      </rPr>
      <t>×100×デフレータ</t>
    </r>
    <phoneticPr fontId="2"/>
  </si>
  <si>
    <t>㋒、Xd：設備規模(wet-t/日)</t>
    <phoneticPr fontId="2"/>
  </si>
  <si>
    <r>
      <t>Y=1.888Xd</t>
    </r>
    <r>
      <rPr>
        <vertAlign val="superscript"/>
        <sz val="11"/>
        <rFont val="游ゴシック"/>
        <family val="3"/>
        <charset val="128"/>
        <scheme val="minor"/>
      </rPr>
      <t>0.597</t>
    </r>
    <r>
      <rPr>
        <sz val="11"/>
        <rFont val="游ゴシック"/>
        <family val="3"/>
        <charset val="128"/>
        <scheme val="minor"/>
      </rPr>
      <t>×100×デフレータ</t>
    </r>
    <phoneticPr fontId="2"/>
  </si>
  <si>
    <t>㋓</t>
    <phoneticPr fontId="2"/>
  </si>
  <si>
    <r>
      <t>Y=0.726Xd</t>
    </r>
    <r>
      <rPr>
        <vertAlign val="superscript"/>
        <sz val="11"/>
        <rFont val="游ゴシック"/>
        <family val="3"/>
        <charset val="128"/>
        <scheme val="minor"/>
      </rPr>
      <t>0.539</t>
    </r>
    <r>
      <rPr>
        <sz val="11"/>
        <rFont val="游ゴシック"/>
        <family val="3"/>
        <charset val="128"/>
        <scheme val="minor"/>
      </rPr>
      <t>×100×デフレータ</t>
    </r>
    <phoneticPr fontId="2"/>
  </si>
  <si>
    <t>㋔</t>
    <phoneticPr fontId="2"/>
  </si>
  <si>
    <t>維持管理費（灰処分費以外）</t>
    <rPh sb="0" eb="2">
      <t>イジ</t>
    </rPh>
    <rPh sb="2" eb="5">
      <t>カンリヒ</t>
    </rPh>
    <rPh sb="6" eb="7">
      <t>ハイ</t>
    </rPh>
    <rPh sb="7" eb="9">
      <t>ショブン</t>
    </rPh>
    <rPh sb="9" eb="10">
      <t>ヒ</t>
    </rPh>
    <rPh sb="10" eb="12">
      <t>イガイ</t>
    </rPh>
    <phoneticPr fontId="2"/>
  </si>
  <si>
    <r>
      <t>Y=0.287Xy</t>
    </r>
    <r>
      <rPr>
        <vertAlign val="superscript"/>
        <sz val="11"/>
        <color theme="1"/>
        <rFont val="游ゴシック"/>
        <family val="3"/>
        <charset val="128"/>
        <scheme val="minor"/>
      </rPr>
      <t>0.673</t>
    </r>
    <r>
      <rPr>
        <sz val="11"/>
        <color theme="1"/>
        <rFont val="游ゴシック"/>
        <family val="3"/>
        <charset val="128"/>
        <scheme val="minor"/>
      </rPr>
      <t>×100</t>
    </r>
    <phoneticPr fontId="2"/>
  </si>
  <si>
    <t>②、Xy：年間処理脱水汚泥量(t-wet/年)</t>
    <rPh sb="9" eb="11">
      <t>ダッスイ</t>
    </rPh>
    <phoneticPr fontId="2"/>
  </si>
  <si>
    <t>維持管理費（灰処分費）</t>
    <rPh sb="0" eb="2">
      <t>イジ</t>
    </rPh>
    <rPh sb="2" eb="5">
      <t>カンリヒ</t>
    </rPh>
    <phoneticPr fontId="2"/>
  </si>
  <si>
    <r>
      <t>Y=Xy</t>
    </r>
    <r>
      <rPr>
        <sz val="11"/>
        <color theme="1"/>
        <rFont val="游ゴシック"/>
        <family val="3"/>
        <charset val="128"/>
        <scheme val="minor"/>
      </rPr>
      <t>×</t>
    </r>
    <r>
      <rPr>
        <sz val="11"/>
        <color theme="1"/>
        <rFont val="游ゴシック"/>
        <family val="2"/>
        <charset val="128"/>
        <scheme val="minor"/>
      </rPr>
      <t>(1-含水率)×(1-有機分率)÷(1-灰含水率)×処分単価</t>
    </r>
    <rPh sb="8" eb="10">
      <t>ガンスイ</t>
    </rPh>
    <rPh sb="10" eb="11">
      <t>リツ</t>
    </rPh>
    <rPh sb="16" eb="18">
      <t>ユウキ</t>
    </rPh>
    <rPh sb="18" eb="20">
      <t>ブンリツ</t>
    </rPh>
    <rPh sb="25" eb="26">
      <t>ハイ</t>
    </rPh>
    <rPh sb="26" eb="28">
      <t>ガンスイ</t>
    </rPh>
    <rPh sb="28" eb="29">
      <t>リツ</t>
    </rPh>
    <rPh sb="31" eb="33">
      <t>ショブン</t>
    </rPh>
    <rPh sb="33" eb="35">
      <t>タンカ</t>
    </rPh>
    <phoneticPr fontId="2"/>
  </si>
  <si>
    <t>③、灰含水率：30％</t>
    <rPh sb="2" eb="3">
      <t>ハイ</t>
    </rPh>
    <rPh sb="3" eb="5">
      <t>ガンスイ</t>
    </rPh>
    <rPh sb="5" eb="6">
      <t>リツ</t>
    </rPh>
    <phoneticPr fontId="2"/>
  </si>
  <si>
    <t>建設費合計</t>
    <rPh sb="0" eb="3">
      <t>ケンセツヒ</t>
    </rPh>
    <rPh sb="3" eb="5">
      <t>ゴウケイ</t>
    </rPh>
    <phoneticPr fontId="2"/>
  </si>
  <si>
    <t>ａ：㋐+㋑+㋒+㋓+㋔</t>
    <phoneticPr fontId="2"/>
  </si>
  <si>
    <t>建設費年価</t>
    <rPh sb="0" eb="3">
      <t>ケンセツヒ</t>
    </rPh>
    <rPh sb="3" eb="4">
      <t>ネン</t>
    </rPh>
    <rPh sb="4" eb="5">
      <t>カ</t>
    </rPh>
    <phoneticPr fontId="2"/>
  </si>
  <si>
    <r>
      <t>Y=工種別建設費×i(1+i)</t>
    </r>
    <r>
      <rPr>
        <vertAlign val="superscript"/>
        <sz val="11"/>
        <color theme="1"/>
        <rFont val="游ゴシック"/>
        <family val="3"/>
        <charset val="128"/>
        <scheme val="minor"/>
      </rPr>
      <t>n</t>
    </r>
    <r>
      <rPr>
        <sz val="11"/>
        <color theme="1"/>
        <rFont val="游ゴシック"/>
        <family val="2"/>
        <charset val="128"/>
        <scheme val="minor"/>
      </rPr>
      <t>/{(1+i)</t>
    </r>
    <r>
      <rPr>
        <vertAlign val="superscript"/>
        <sz val="11"/>
        <color theme="1"/>
        <rFont val="游ゴシック"/>
        <family val="3"/>
        <charset val="128"/>
        <scheme val="minor"/>
      </rPr>
      <t>n</t>
    </r>
    <r>
      <rPr>
        <sz val="11"/>
        <color theme="1"/>
        <rFont val="游ゴシック"/>
        <family val="2"/>
        <charset val="128"/>
        <scheme val="minor"/>
      </rPr>
      <t>-1}</t>
    </r>
    <rPh sb="2" eb="5">
      <t>コウシュベツ</t>
    </rPh>
    <rPh sb="5" eb="8">
      <t>ケンセツヒ</t>
    </rPh>
    <phoneticPr fontId="2"/>
  </si>
  <si>
    <t>ｂ、i：利子率、n：耐用年数
※工種別に年価を算出し、合計する。</t>
    <rPh sb="4" eb="7">
      <t>リシリツ</t>
    </rPh>
    <rPh sb="10" eb="12">
      <t>タイヨウ</t>
    </rPh>
    <rPh sb="12" eb="14">
      <t>ネンスウ</t>
    </rPh>
    <rPh sb="23" eb="25">
      <t>サンシュツ</t>
    </rPh>
    <phoneticPr fontId="2"/>
  </si>
  <si>
    <t>利子率(％)</t>
    <rPh sb="0" eb="2">
      <t>リシ</t>
    </rPh>
    <rPh sb="2" eb="3">
      <t>リツ</t>
    </rPh>
    <phoneticPr fontId="2"/>
  </si>
  <si>
    <t>対象年数(年)</t>
    <rPh sb="0" eb="2">
      <t>タイショウ</t>
    </rPh>
    <rPh sb="2" eb="4">
      <t>ネンスウ</t>
    </rPh>
    <rPh sb="5" eb="6">
      <t>ネン</t>
    </rPh>
    <phoneticPr fontId="2"/>
  </si>
  <si>
    <t>維持管理費合計
(電力、燃料、薬品費、灰処分費、補修費、人件費)</t>
    <rPh sb="0" eb="2">
      <t>イジ</t>
    </rPh>
    <rPh sb="2" eb="5">
      <t>カンリヒ</t>
    </rPh>
    <rPh sb="5" eb="7">
      <t>ゴウケイ</t>
    </rPh>
    <rPh sb="9" eb="11">
      <t>デンリョク</t>
    </rPh>
    <rPh sb="12" eb="14">
      <t>ネンリョウ</t>
    </rPh>
    <rPh sb="15" eb="17">
      <t>ヤクヒン</t>
    </rPh>
    <rPh sb="17" eb="18">
      <t>ヒ</t>
    </rPh>
    <rPh sb="19" eb="20">
      <t>ハイ</t>
    </rPh>
    <rPh sb="20" eb="22">
      <t>ショブン</t>
    </rPh>
    <rPh sb="22" eb="23">
      <t>ヒ</t>
    </rPh>
    <rPh sb="24" eb="27">
      <t>ホシュウヒ</t>
    </rPh>
    <rPh sb="28" eb="31">
      <t>ジンケンヒ</t>
    </rPh>
    <phoneticPr fontId="2"/>
  </si>
  <si>
    <t>ｃ：①+②+③</t>
    <phoneticPr fontId="2"/>
  </si>
  <si>
    <t>土木建築施設</t>
    <rPh sb="0" eb="2">
      <t>ドボク</t>
    </rPh>
    <rPh sb="2" eb="4">
      <t>ケンチク</t>
    </rPh>
    <rPh sb="4" eb="6">
      <t>シセツ</t>
    </rPh>
    <phoneticPr fontId="2"/>
  </si>
  <si>
    <t>焼却機械設備</t>
    <rPh sb="0" eb="2">
      <t>ショウキャク</t>
    </rPh>
    <rPh sb="2" eb="4">
      <t>キカイ</t>
    </rPh>
    <rPh sb="4" eb="6">
      <t>セツビ</t>
    </rPh>
    <phoneticPr fontId="2"/>
  </si>
  <si>
    <t>解体撤去費</t>
    <rPh sb="0" eb="2">
      <t>カイタイ</t>
    </rPh>
    <rPh sb="2" eb="4">
      <t>テッキョ</t>
    </rPh>
    <rPh sb="4" eb="5">
      <t>ヒ</t>
    </rPh>
    <phoneticPr fontId="2"/>
  </si>
  <si>
    <t>建設費×10％</t>
    <rPh sb="0" eb="3">
      <t>ケンセツヒ</t>
    </rPh>
    <phoneticPr fontId="2"/>
  </si>
  <si>
    <t>ｄ：ａ×10％</t>
    <phoneticPr fontId="2"/>
  </si>
  <si>
    <t>その他機械設備</t>
    <rPh sb="2" eb="3">
      <t>ホカ</t>
    </rPh>
    <rPh sb="3" eb="5">
      <t>キカイ</t>
    </rPh>
    <rPh sb="5" eb="7">
      <t>セツビ</t>
    </rPh>
    <phoneticPr fontId="2"/>
  </si>
  <si>
    <t>総費用(年価換算値)</t>
    <rPh sb="0" eb="3">
      <t>ソウヒヨウ</t>
    </rPh>
    <rPh sb="4" eb="5">
      <t>トシ</t>
    </rPh>
    <rPh sb="5" eb="6">
      <t>アタイ</t>
    </rPh>
    <rPh sb="6" eb="8">
      <t>カンサン</t>
    </rPh>
    <rPh sb="8" eb="9">
      <t>アタイ</t>
    </rPh>
    <phoneticPr fontId="2"/>
  </si>
  <si>
    <t>Ａ：ｂ+ｃ+ｄ</t>
    <phoneticPr fontId="2"/>
  </si>
  <si>
    <t>電気設備</t>
    <rPh sb="0" eb="2">
      <t>デンキ</t>
    </rPh>
    <rPh sb="2" eb="4">
      <t>セツビ</t>
    </rPh>
    <phoneticPr fontId="2"/>
  </si>
  <si>
    <t>革新的技術</t>
    <rPh sb="0" eb="3">
      <t>カクシンテキ</t>
    </rPh>
    <rPh sb="3" eb="5">
      <t>ギジュツ</t>
    </rPh>
    <phoneticPr fontId="2"/>
  </si>
  <si>
    <r>
      <t>Y</t>
    </r>
    <r>
      <rPr>
        <sz val="11"/>
        <color theme="1"/>
        <rFont val="游ゴシック"/>
        <family val="2"/>
        <charset val="128"/>
        <scheme val="minor"/>
      </rPr>
      <t>=3.365Xd+444.3</t>
    </r>
    <phoneticPr fontId="2"/>
  </si>
  <si>
    <t>㋕</t>
    <phoneticPr fontId="2"/>
  </si>
  <si>
    <t>維持管理費（消費電力）</t>
    <rPh sb="0" eb="2">
      <t>イジ</t>
    </rPh>
    <rPh sb="2" eb="5">
      <t>カンリヒ</t>
    </rPh>
    <rPh sb="6" eb="8">
      <t>ショウヒ</t>
    </rPh>
    <rPh sb="8" eb="10">
      <t>デンリョク</t>
    </rPh>
    <phoneticPr fontId="2"/>
  </si>
  <si>
    <t>消費電力量
（MWh/年）</t>
    <rPh sb="0" eb="2">
      <t>ショウヒ</t>
    </rPh>
    <rPh sb="2" eb="4">
      <t>デンリョク</t>
    </rPh>
    <rPh sb="4" eb="5">
      <t>リョウ</t>
    </rPh>
    <rPh sb="11" eb="12">
      <t>ネン</t>
    </rPh>
    <phoneticPr fontId="2"/>
  </si>
  <si>
    <t>Y=4.654Xd</t>
    <phoneticPr fontId="2"/>
  </si>
  <si>
    <t>Xd:設備規模(wet-t/日)</t>
    <phoneticPr fontId="2"/>
  </si>
  <si>
    <r>
      <t>Y=消費電力量(MWh/年)×単価(円/kWh)×10</t>
    </r>
    <r>
      <rPr>
        <vertAlign val="superscript"/>
        <sz val="11"/>
        <rFont val="游ゴシック"/>
        <family val="3"/>
        <charset val="128"/>
        <scheme val="minor"/>
      </rPr>
      <t>-3</t>
    </r>
    <rPh sb="2" eb="4">
      <t>ショウヒ</t>
    </rPh>
    <rPh sb="4" eb="7">
      <t>デンリョクリョウ</t>
    </rPh>
    <rPh sb="12" eb="13">
      <t>ネン</t>
    </rPh>
    <rPh sb="15" eb="17">
      <t>タンカ</t>
    </rPh>
    <rPh sb="18" eb="19">
      <t>エン</t>
    </rPh>
    <phoneticPr fontId="2"/>
  </si>
  <si>
    <t>④</t>
    <phoneticPr fontId="2"/>
  </si>
  <si>
    <t>維持管理費（薬品費・高分子凝集剤）</t>
    <rPh sb="0" eb="2">
      <t>イジ</t>
    </rPh>
    <rPh sb="2" eb="5">
      <t>カンリヒ</t>
    </rPh>
    <rPh sb="6" eb="8">
      <t>ヤクヒン</t>
    </rPh>
    <rPh sb="8" eb="9">
      <t>ヒ</t>
    </rPh>
    <rPh sb="13" eb="15">
      <t>ギョウシュウ</t>
    </rPh>
    <rPh sb="15" eb="16">
      <t>ザイ</t>
    </rPh>
    <phoneticPr fontId="2"/>
  </si>
  <si>
    <t>薬品使用量
（t/年）</t>
    <rPh sb="0" eb="2">
      <t>ヤクヒン</t>
    </rPh>
    <rPh sb="2" eb="5">
      <t>シヨウリョウ</t>
    </rPh>
    <rPh sb="9" eb="10">
      <t>ネン</t>
    </rPh>
    <phoneticPr fontId="2"/>
  </si>
  <si>
    <t>Y=0.516Xd</t>
    <phoneticPr fontId="2"/>
  </si>
  <si>
    <t>注入率：0.7%－TS</t>
    <rPh sb="0" eb="1">
      <t>チュウ</t>
    </rPh>
    <rPh sb="2" eb="3">
      <t>リツ</t>
    </rPh>
    <phoneticPr fontId="2"/>
  </si>
  <si>
    <r>
      <t>Y=薬品使用量(t/年)×単価(円/t)×10</t>
    </r>
    <r>
      <rPr>
        <vertAlign val="superscript"/>
        <sz val="11"/>
        <rFont val="游ゴシック"/>
        <family val="3"/>
        <charset val="128"/>
        <scheme val="minor"/>
      </rPr>
      <t>-3</t>
    </r>
    <rPh sb="2" eb="4">
      <t>ヤクヒン</t>
    </rPh>
    <rPh sb="4" eb="7">
      <t>シヨウリョウ</t>
    </rPh>
    <rPh sb="10" eb="11">
      <t>ネン</t>
    </rPh>
    <rPh sb="13" eb="15">
      <t>タンカ</t>
    </rPh>
    <rPh sb="16" eb="17">
      <t>エン</t>
    </rPh>
    <phoneticPr fontId="2"/>
  </si>
  <si>
    <t>⑤</t>
    <phoneticPr fontId="2"/>
  </si>
  <si>
    <t>維持管理費（薬品費・ポリ硫酸第二鉄）</t>
    <rPh sb="0" eb="2">
      <t>イジ</t>
    </rPh>
    <rPh sb="2" eb="5">
      <t>カンリヒ</t>
    </rPh>
    <rPh sb="6" eb="8">
      <t>ヤクヒン</t>
    </rPh>
    <rPh sb="8" eb="9">
      <t>ヒ</t>
    </rPh>
    <rPh sb="12" eb="14">
      <t>リュウサン</t>
    </rPh>
    <rPh sb="14" eb="16">
      <t>ダイニ</t>
    </rPh>
    <rPh sb="16" eb="17">
      <t>テツ</t>
    </rPh>
    <phoneticPr fontId="2"/>
  </si>
  <si>
    <t>Y=3.688Xd</t>
    <phoneticPr fontId="2"/>
  </si>
  <si>
    <t>注入率：5%－TS</t>
    <rPh sb="0" eb="1">
      <t>チュウ</t>
    </rPh>
    <rPh sb="2" eb="3">
      <t>リツ</t>
    </rPh>
    <phoneticPr fontId="2"/>
  </si>
  <si>
    <t>⑥</t>
    <phoneticPr fontId="2"/>
  </si>
  <si>
    <t>燃焼設備</t>
    <rPh sb="0" eb="2">
      <t>ネンショウ</t>
    </rPh>
    <rPh sb="2" eb="4">
      <t>セツビ</t>
    </rPh>
    <phoneticPr fontId="2"/>
  </si>
  <si>
    <t>Y=0.438Xd+117</t>
    <phoneticPr fontId="2"/>
  </si>
  <si>
    <t>㋖</t>
    <phoneticPr fontId="2"/>
  </si>
  <si>
    <t>Y=9.000Xd+1,533</t>
    <phoneticPr fontId="2"/>
  </si>
  <si>
    <t>㋗</t>
    <phoneticPr fontId="2"/>
  </si>
  <si>
    <t>Y=1.000Xd+600</t>
    <phoneticPr fontId="2"/>
  </si>
  <si>
    <t>㋘</t>
    <phoneticPr fontId="2"/>
  </si>
  <si>
    <t>Y=15.26Xd+115</t>
    <phoneticPr fontId="2"/>
  </si>
  <si>
    <t>⑦</t>
    <phoneticPr fontId="2"/>
  </si>
  <si>
    <t>維持管理費（補助燃料費）</t>
    <rPh sb="0" eb="2">
      <t>イジ</t>
    </rPh>
    <rPh sb="2" eb="5">
      <t>カンリヒ</t>
    </rPh>
    <rPh sb="6" eb="8">
      <t>ホジョ</t>
    </rPh>
    <rPh sb="8" eb="10">
      <t>ネンリョウ</t>
    </rPh>
    <rPh sb="10" eb="11">
      <t>ヒ</t>
    </rPh>
    <phoneticPr fontId="2"/>
  </si>
  <si>
    <t>燃料使用量
（kL/年）</t>
    <rPh sb="0" eb="2">
      <t>ネンリョウ</t>
    </rPh>
    <rPh sb="2" eb="5">
      <t>シヨウリョウ</t>
    </rPh>
    <rPh sb="10" eb="11">
      <t>ネン</t>
    </rPh>
    <phoneticPr fontId="2"/>
  </si>
  <si>
    <t>Y=0.252Xd+1.439</t>
    <phoneticPr fontId="2"/>
  </si>
  <si>
    <t>補助燃料種類：A重油</t>
    <rPh sb="0" eb="2">
      <t>ホジョ</t>
    </rPh>
    <rPh sb="2" eb="4">
      <t>ネンリョウ</t>
    </rPh>
    <rPh sb="4" eb="6">
      <t>シュルイ</t>
    </rPh>
    <rPh sb="8" eb="10">
      <t>ジュウユ</t>
    </rPh>
    <phoneticPr fontId="2"/>
  </si>
  <si>
    <r>
      <t>Y=燃料使用量(kL/年)×単価(円/L)×10</t>
    </r>
    <r>
      <rPr>
        <vertAlign val="superscript"/>
        <sz val="11"/>
        <rFont val="游ゴシック"/>
        <family val="3"/>
        <charset val="128"/>
        <scheme val="minor"/>
      </rPr>
      <t>-3</t>
    </r>
    <rPh sb="2" eb="4">
      <t>ネンリョウ</t>
    </rPh>
    <rPh sb="4" eb="7">
      <t>シヨウリョウ</t>
    </rPh>
    <rPh sb="11" eb="12">
      <t>ネン</t>
    </rPh>
    <rPh sb="14" eb="16">
      <t>タンカ</t>
    </rPh>
    <rPh sb="17" eb="18">
      <t>エン</t>
    </rPh>
    <phoneticPr fontId="2"/>
  </si>
  <si>
    <t>⑧</t>
    <phoneticPr fontId="2"/>
  </si>
  <si>
    <t>維持管理費（薬品費・苛性ソーダ）</t>
    <rPh sb="0" eb="2">
      <t>イジ</t>
    </rPh>
    <rPh sb="2" eb="5">
      <t>カンリヒ</t>
    </rPh>
    <rPh sb="6" eb="8">
      <t>ヤクヒン</t>
    </rPh>
    <rPh sb="8" eb="9">
      <t>ヒ</t>
    </rPh>
    <rPh sb="10" eb="12">
      <t>カセイ</t>
    </rPh>
    <phoneticPr fontId="2"/>
  </si>
  <si>
    <t>苛性使用量
（t/年）</t>
    <rPh sb="0" eb="2">
      <t>カセイ</t>
    </rPh>
    <rPh sb="2" eb="5">
      <t>シヨウリョウ</t>
    </rPh>
    <rPh sb="9" eb="10">
      <t>ネン</t>
    </rPh>
    <phoneticPr fontId="2"/>
  </si>
  <si>
    <t>Y=4.050Xd</t>
    <phoneticPr fontId="2"/>
  </si>
  <si>
    <t>48％濃度NaOH</t>
    <rPh sb="3" eb="5">
      <t>ノウド</t>
    </rPh>
    <phoneticPr fontId="2"/>
  </si>
  <si>
    <r>
      <t>Y=苛性使用量(t/年)×単価(円/㎏)×10</t>
    </r>
    <r>
      <rPr>
        <vertAlign val="superscript"/>
        <sz val="11"/>
        <rFont val="游ゴシック"/>
        <family val="3"/>
        <charset val="128"/>
        <scheme val="minor"/>
      </rPr>
      <t>-3</t>
    </r>
    <rPh sb="2" eb="4">
      <t>カセイ</t>
    </rPh>
    <rPh sb="4" eb="7">
      <t>シヨウリョウ</t>
    </rPh>
    <rPh sb="10" eb="11">
      <t>ネン</t>
    </rPh>
    <rPh sb="13" eb="15">
      <t>タンカ</t>
    </rPh>
    <rPh sb="16" eb="17">
      <t>エン</t>
    </rPh>
    <phoneticPr fontId="2"/>
  </si>
  <si>
    <t>⑨</t>
    <phoneticPr fontId="2"/>
  </si>
  <si>
    <t>維持管理費（灰処分費）</t>
    <rPh sb="0" eb="2">
      <t>イジ</t>
    </rPh>
    <rPh sb="2" eb="5">
      <t>カンリヒ</t>
    </rPh>
    <rPh sb="6" eb="7">
      <t>ハイ</t>
    </rPh>
    <rPh sb="7" eb="9">
      <t>ショブン</t>
    </rPh>
    <rPh sb="9" eb="10">
      <t>ヒ</t>
    </rPh>
    <phoneticPr fontId="2"/>
  </si>
  <si>
    <t>灰発生量
（t/年）</t>
    <rPh sb="0" eb="1">
      <t>ハイ</t>
    </rPh>
    <rPh sb="1" eb="3">
      <t>ハッセイ</t>
    </rPh>
    <rPh sb="3" eb="4">
      <t>リョウ</t>
    </rPh>
    <rPh sb="8" eb="9">
      <t>ネン</t>
    </rPh>
    <phoneticPr fontId="2"/>
  </si>
  <si>
    <t>Y=17.101Xd</t>
    <phoneticPr fontId="2"/>
  </si>
  <si>
    <r>
      <t>Y=灰発生量(t/年)×処分単価(円/t)×10</t>
    </r>
    <r>
      <rPr>
        <vertAlign val="superscript"/>
        <sz val="11"/>
        <rFont val="游ゴシック"/>
        <family val="3"/>
        <charset val="128"/>
        <scheme val="minor"/>
      </rPr>
      <t>-6</t>
    </r>
    <rPh sb="2" eb="3">
      <t>ハイ</t>
    </rPh>
    <rPh sb="3" eb="5">
      <t>ハッセイ</t>
    </rPh>
    <rPh sb="5" eb="6">
      <t>リョウ</t>
    </rPh>
    <rPh sb="9" eb="10">
      <t>ネン</t>
    </rPh>
    <rPh sb="12" eb="14">
      <t>ショブン</t>
    </rPh>
    <rPh sb="14" eb="16">
      <t>タンカ</t>
    </rPh>
    <rPh sb="17" eb="18">
      <t>エン</t>
    </rPh>
    <phoneticPr fontId="2"/>
  </si>
  <si>
    <t>⑩</t>
    <phoneticPr fontId="2"/>
  </si>
  <si>
    <t>発電設備</t>
    <rPh sb="0" eb="2">
      <t>ハツデン</t>
    </rPh>
    <rPh sb="2" eb="4">
      <t>セツビ</t>
    </rPh>
    <phoneticPr fontId="2"/>
  </si>
  <si>
    <t>Y=0.772Xd+282</t>
    <phoneticPr fontId="2"/>
  </si>
  <si>
    <t>㋙</t>
    <phoneticPr fontId="2"/>
  </si>
  <si>
    <t>Y=0.320Xd+57.44</t>
    <phoneticPr fontId="2"/>
  </si>
  <si>
    <t>⑪</t>
    <phoneticPr fontId="2"/>
  </si>
  <si>
    <t>エネルギー総出量（発電量）</t>
    <rPh sb="5" eb="6">
      <t>ソウ</t>
    </rPh>
    <rPh sb="6" eb="8">
      <t>シュツリョウ</t>
    </rPh>
    <rPh sb="9" eb="11">
      <t>ハツデン</t>
    </rPh>
    <rPh sb="11" eb="12">
      <t>リョウ</t>
    </rPh>
    <phoneticPr fontId="2"/>
  </si>
  <si>
    <t>発電量
（MWh/年）</t>
    <rPh sb="0" eb="2">
      <t>ハツデン</t>
    </rPh>
    <rPh sb="2" eb="3">
      <t>リョウ</t>
    </rPh>
    <rPh sb="3" eb="4">
      <t>リキリョウ</t>
    </rPh>
    <rPh sb="9" eb="10">
      <t>ネン</t>
    </rPh>
    <phoneticPr fontId="2"/>
  </si>
  <si>
    <t>Y=13.04Xd-275.1</t>
    <phoneticPr fontId="2"/>
  </si>
  <si>
    <r>
      <t>Y=発電量(MWh/年)×単価(円/kWh)×10</t>
    </r>
    <r>
      <rPr>
        <vertAlign val="superscript"/>
        <sz val="11"/>
        <color theme="1"/>
        <rFont val="游ゴシック"/>
        <family val="3"/>
        <charset val="128"/>
        <scheme val="minor"/>
      </rPr>
      <t>-3</t>
    </r>
    <rPh sb="2" eb="4">
      <t>ハツデン</t>
    </rPh>
    <rPh sb="4" eb="5">
      <t>リョウ</t>
    </rPh>
    <rPh sb="10" eb="11">
      <t>ネン</t>
    </rPh>
    <rPh sb="13" eb="15">
      <t>タンカ</t>
    </rPh>
    <rPh sb="16" eb="17">
      <t>エン</t>
    </rPh>
    <phoneticPr fontId="2"/>
  </si>
  <si>
    <t>⑫</t>
    <phoneticPr fontId="2"/>
  </si>
  <si>
    <t>ｅ：㋕+㋖+㋗+㋘+㋙</t>
    <phoneticPr fontId="2"/>
  </si>
  <si>
    <r>
      <t>Y=工種別建設費×i(1-i)</t>
    </r>
    <r>
      <rPr>
        <vertAlign val="superscript"/>
        <sz val="11"/>
        <color theme="1"/>
        <rFont val="游ゴシック"/>
        <family val="3"/>
        <charset val="128"/>
        <scheme val="minor"/>
      </rPr>
      <t>n</t>
    </r>
    <r>
      <rPr>
        <sz val="11"/>
        <color theme="1"/>
        <rFont val="游ゴシック"/>
        <family val="2"/>
        <charset val="128"/>
        <scheme val="minor"/>
      </rPr>
      <t>/{(1+i)</t>
    </r>
    <r>
      <rPr>
        <vertAlign val="superscript"/>
        <sz val="11"/>
        <color theme="1"/>
        <rFont val="游ゴシック"/>
        <family val="3"/>
        <charset val="128"/>
        <scheme val="minor"/>
      </rPr>
      <t>n</t>
    </r>
    <r>
      <rPr>
        <sz val="11"/>
        <color theme="1"/>
        <rFont val="游ゴシック"/>
        <family val="2"/>
        <charset val="128"/>
        <scheme val="minor"/>
      </rPr>
      <t>-1}</t>
    </r>
    <rPh sb="2" eb="4">
      <t>コウシュ</t>
    </rPh>
    <rPh sb="4" eb="5">
      <t>ベツ</t>
    </rPh>
    <rPh sb="5" eb="8">
      <t>ケンセツヒ</t>
    </rPh>
    <phoneticPr fontId="2"/>
  </si>
  <si>
    <t>ｆ、i：利子率、n：耐用年数
※工種別に年価を算出し、合計する。</t>
    <rPh sb="4" eb="7">
      <t>リシリツ</t>
    </rPh>
    <rPh sb="10" eb="12">
      <t>タイヨウ</t>
    </rPh>
    <rPh sb="12" eb="14">
      <t>ネンスウ</t>
    </rPh>
    <rPh sb="23" eb="25">
      <t>サンシュツ</t>
    </rPh>
    <phoneticPr fontId="2"/>
  </si>
  <si>
    <t>その他</t>
    <rPh sb="2" eb="3">
      <t>ホカ</t>
    </rPh>
    <phoneticPr fontId="2"/>
  </si>
  <si>
    <t>維持管理費（点検補修費）</t>
    <rPh sb="0" eb="2">
      <t>イジ</t>
    </rPh>
    <rPh sb="2" eb="5">
      <t>カンリヒ</t>
    </rPh>
    <rPh sb="6" eb="8">
      <t>テンケン</t>
    </rPh>
    <rPh sb="8" eb="10">
      <t>ホシュウ</t>
    </rPh>
    <rPh sb="10" eb="11">
      <t>ヒ</t>
    </rPh>
    <phoneticPr fontId="2"/>
  </si>
  <si>
    <t>脱水・燃焼設備：建設費×2.4％
発電設備：建設費×1.3％</t>
    <rPh sb="0" eb="2">
      <t>ダッスイ</t>
    </rPh>
    <rPh sb="3" eb="5">
      <t>ネンショウ</t>
    </rPh>
    <rPh sb="5" eb="7">
      <t>セツビ</t>
    </rPh>
    <rPh sb="8" eb="11">
      <t>ケンセツヒ</t>
    </rPh>
    <rPh sb="17" eb="19">
      <t>ハツデン</t>
    </rPh>
    <rPh sb="19" eb="21">
      <t>セツビ</t>
    </rPh>
    <rPh sb="22" eb="25">
      <t>ケンセツヒ</t>
    </rPh>
    <phoneticPr fontId="2"/>
  </si>
  <si>
    <t>⑬</t>
    <phoneticPr fontId="2"/>
  </si>
  <si>
    <t>維持管理費（人件費）</t>
    <rPh sb="0" eb="2">
      <t>イジ</t>
    </rPh>
    <rPh sb="2" eb="5">
      <t>カンリヒ</t>
    </rPh>
    <rPh sb="6" eb="9">
      <t>ジンケンヒ</t>
    </rPh>
    <phoneticPr fontId="2"/>
  </si>
  <si>
    <t>主任(700万円/年)×１名＋作業員(400万円/年)×１２名</t>
    <rPh sb="0" eb="2">
      <t>シュニン</t>
    </rPh>
    <rPh sb="6" eb="8">
      <t>マンエン</t>
    </rPh>
    <rPh sb="9" eb="10">
      <t>ネン</t>
    </rPh>
    <rPh sb="13" eb="14">
      <t>メイ</t>
    </rPh>
    <rPh sb="15" eb="18">
      <t>サギョウイン</t>
    </rPh>
    <rPh sb="22" eb="24">
      <t>マンエン</t>
    </rPh>
    <rPh sb="25" eb="26">
      <t>ネン</t>
    </rPh>
    <rPh sb="30" eb="31">
      <t>メイ</t>
    </rPh>
    <phoneticPr fontId="2"/>
  </si>
  <si>
    <t>⑭</t>
    <phoneticPr fontId="2"/>
  </si>
  <si>
    <t>ｇ：④+⑤+⑥+⑦+⑧+⑨+⑩+⑪+⑬+⑭ー⑫</t>
    <phoneticPr fontId="2"/>
  </si>
  <si>
    <t>ｈ：ｅ×10％</t>
    <phoneticPr fontId="2"/>
  </si>
  <si>
    <t>Ｂ：ｆ+ｇ+ｈ</t>
    <phoneticPr fontId="2"/>
  </si>
  <si>
    <t>総費用（年価換算値）削減効果</t>
    <rPh sb="0" eb="3">
      <t>ソウヒヨウ</t>
    </rPh>
    <rPh sb="4" eb="6">
      <t>ネンカ</t>
    </rPh>
    <rPh sb="6" eb="8">
      <t>カンサン</t>
    </rPh>
    <rPh sb="8" eb="9">
      <t>チ</t>
    </rPh>
    <rPh sb="10" eb="12">
      <t>サクゲン</t>
    </rPh>
    <rPh sb="12" eb="14">
      <t>コウカ</t>
    </rPh>
    <phoneticPr fontId="2"/>
  </si>
  <si>
    <t>％</t>
    <phoneticPr fontId="2"/>
  </si>
  <si>
    <t>(１-Ｂ/Ａ)×100</t>
    <phoneticPr fontId="2"/>
  </si>
  <si>
    <t>エネルギー削減効果</t>
    <rPh sb="5" eb="7">
      <t>サクゲン</t>
    </rPh>
    <rPh sb="7" eb="9">
      <t>コウカ</t>
    </rPh>
    <phoneticPr fontId="2"/>
  </si>
  <si>
    <t>費用関数</t>
    <phoneticPr fontId="2"/>
  </si>
  <si>
    <t>電力</t>
    <rPh sb="0" eb="2">
      <t>デンリョク</t>
    </rPh>
    <phoneticPr fontId="2"/>
  </si>
  <si>
    <t>備考</t>
    <phoneticPr fontId="2"/>
  </si>
  <si>
    <t>消費電力量（脱水設備）</t>
    <rPh sb="0" eb="2">
      <t>ショウヒ</t>
    </rPh>
    <rPh sb="2" eb="4">
      <t>デンリョク</t>
    </rPh>
    <rPh sb="4" eb="5">
      <t>リョウ</t>
    </rPh>
    <rPh sb="6" eb="8">
      <t>ダッスイ</t>
    </rPh>
    <rPh sb="8" eb="10">
      <t>セツビ</t>
    </rPh>
    <phoneticPr fontId="2"/>
  </si>
  <si>
    <t>ＭWh/年</t>
    <rPh sb="4" eb="5">
      <t>ネン</t>
    </rPh>
    <phoneticPr fontId="2"/>
  </si>
  <si>
    <t>実績値(セルD10)</t>
    <rPh sb="0" eb="2">
      <t>ジッセキ</t>
    </rPh>
    <rPh sb="2" eb="3">
      <t>チ</t>
    </rPh>
    <phoneticPr fontId="2"/>
  </si>
  <si>
    <t>⑴</t>
    <phoneticPr fontId="2"/>
  </si>
  <si>
    <t>消費電力量（焼却設備）</t>
    <rPh sb="0" eb="2">
      <t>ショウヒ</t>
    </rPh>
    <rPh sb="2" eb="4">
      <t>デンリョク</t>
    </rPh>
    <rPh sb="4" eb="5">
      <t>リョウ</t>
    </rPh>
    <rPh sb="6" eb="8">
      <t>ショウキャク</t>
    </rPh>
    <rPh sb="8" eb="10">
      <t>セツビ</t>
    </rPh>
    <phoneticPr fontId="2"/>
  </si>
  <si>
    <t>実績値(セルD11)</t>
    <rPh sb="0" eb="2">
      <t>ジッセキ</t>
    </rPh>
    <rPh sb="2" eb="3">
      <t>チ</t>
    </rPh>
    <phoneticPr fontId="2"/>
  </si>
  <si>
    <t>⑵</t>
    <phoneticPr fontId="2"/>
  </si>
  <si>
    <t>補助燃料使用によるエネルギー消費量</t>
    <rPh sb="0" eb="2">
      <t>ホジョ</t>
    </rPh>
    <rPh sb="2" eb="4">
      <t>ネンリョウ</t>
    </rPh>
    <rPh sb="4" eb="6">
      <t>シヨウ</t>
    </rPh>
    <rPh sb="14" eb="17">
      <t>ショウヒリョウ</t>
    </rPh>
    <phoneticPr fontId="2"/>
  </si>
  <si>
    <t>燃料使用量</t>
    <rPh sb="0" eb="2">
      <t>ネンリョウ</t>
    </rPh>
    <rPh sb="2" eb="5">
      <t>シヨウリョウ</t>
    </rPh>
    <phoneticPr fontId="2"/>
  </si>
  <si>
    <t>実績値(セルD13)</t>
    <rPh sb="0" eb="2">
      <t>ジッセキ</t>
    </rPh>
    <rPh sb="2" eb="3">
      <t>チ</t>
    </rPh>
    <phoneticPr fontId="2"/>
  </si>
  <si>
    <t>補助燃料・エネルギー換算係数</t>
    <rPh sb="0" eb="2">
      <t>ホジョ</t>
    </rPh>
    <rPh sb="2" eb="4">
      <t>ネンリョウ</t>
    </rPh>
    <rPh sb="10" eb="12">
      <t>カンザン</t>
    </rPh>
    <rPh sb="12" eb="14">
      <t>ケイスウ</t>
    </rPh>
    <phoneticPr fontId="2"/>
  </si>
  <si>
    <t>Y=エネルギー使用量(GJ/年)×換算係数(kWh/MJ)</t>
    <rPh sb="7" eb="10">
      <t>シヨウリョウ</t>
    </rPh>
    <rPh sb="14" eb="15">
      <t>ネン</t>
    </rPh>
    <rPh sb="17" eb="19">
      <t>カンザン</t>
    </rPh>
    <rPh sb="19" eb="21">
      <t>ケイスウ</t>
    </rPh>
    <phoneticPr fontId="2"/>
  </si>
  <si>
    <t>⑶</t>
    <phoneticPr fontId="2"/>
  </si>
  <si>
    <t>換算係数(kWh/MJ)</t>
    <rPh sb="0" eb="2">
      <t>カンサン</t>
    </rPh>
    <rPh sb="2" eb="4">
      <t>ケイスウ</t>
    </rPh>
    <phoneticPr fontId="2"/>
  </si>
  <si>
    <t>合計</t>
    <rPh sb="0" eb="2">
      <t>ゴウケイ</t>
    </rPh>
    <phoneticPr fontId="2"/>
  </si>
  <si>
    <t>Ｃ：⑴+⑵+⑶</t>
    <phoneticPr fontId="2"/>
  </si>
  <si>
    <r>
      <t>Y</t>
    </r>
    <r>
      <rPr>
        <sz val="11"/>
        <color theme="1"/>
        <rFont val="游ゴシック"/>
        <family val="2"/>
        <charset val="128"/>
        <scheme val="minor"/>
      </rPr>
      <t>=4.654Xd</t>
    </r>
    <phoneticPr fontId="2"/>
  </si>
  <si>
    <t>⑷</t>
    <phoneticPr fontId="2"/>
  </si>
  <si>
    <r>
      <t>Y</t>
    </r>
    <r>
      <rPr>
        <sz val="11"/>
        <color theme="1"/>
        <rFont val="游ゴシック"/>
        <family val="2"/>
        <charset val="128"/>
        <scheme val="minor"/>
      </rPr>
      <t>=15.26Xd+115</t>
    </r>
    <phoneticPr fontId="2"/>
  </si>
  <si>
    <t>⑸</t>
    <phoneticPr fontId="2"/>
  </si>
  <si>
    <t>消費電力量（発電設備）</t>
    <rPh sb="0" eb="2">
      <t>ショウヒ</t>
    </rPh>
    <rPh sb="2" eb="4">
      <t>デンリョク</t>
    </rPh>
    <rPh sb="4" eb="5">
      <t>リョウ</t>
    </rPh>
    <rPh sb="6" eb="8">
      <t>ハツデン</t>
    </rPh>
    <rPh sb="8" eb="10">
      <t>セツビ</t>
    </rPh>
    <phoneticPr fontId="2"/>
  </si>
  <si>
    <r>
      <t>Y</t>
    </r>
    <r>
      <rPr>
        <sz val="11"/>
        <color theme="1"/>
        <rFont val="游ゴシック"/>
        <family val="2"/>
        <charset val="128"/>
        <scheme val="minor"/>
      </rPr>
      <t>=0.320Xd+57.44</t>
    </r>
    <phoneticPr fontId="2"/>
  </si>
  <si>
    <t>⑹</t>
    <phoneticPr fontId="2"/>
  </si>
  <si>
    <r>
      <t>Y</t>
    </r>
    <r>
      <rPr>
        <sz val="11"/>
        <color theme="1"/>
        <rFont val="游ゴシック"/>
        <family val="2"/>
        <charset val="128"/>
        <scheme val="minor"/>
      </rPr>
      <t>=0.252Xd+1.439</t>
    </r>
    <phoneticPr fontId="2"/>
  </si>
  <si>
    <t>Ａ重油・エネルギー換算係数
(MJ/L)</t>
    <rPh sb="9" eb="11">
      <t>カンザン</t>
    </rPh>
    <rPh sb="11" eb="13">
      <t>ケイスウ</t>
    </rPh>
    <phoneticPr fontId="2"/>
  </si>
  <si>
    <t>⑺</t>
    <phoneticPr fontId="2"/>
  </si>
  <si>
    <r>
      <t>Ｄ：</t>
    </r>
    <r>
      <rPr>
        <sz val="11"/>
        <rFont val="游ゴシック"/>
        <family val="3"/>
        <charset val="128"/>
      </rPr>
      <t>⑷+⑸+⑹+⑺</t>
    </r>
    <phoneticPr fontId="2"/>
  </si>
  <si>
    <t>エネルギー創出量</t>
    <rPh sb="5" eb="7">
      <t>ソウシュツ</t>
    </rPh>
    <phoneticPr fontId="2"/>
  </si>
  <si>
    <r>
      <t>Y</t>
    </r>
    <r>
      <rPr>
        <sz val="11"/>
        <color theme="1"/>
        <rFont val="游ゴシック"/>
        <family val="2"/>
        <charset val="128"/>
        <scheme val="minor"/>
      </rPr>
      <t>=13.04Xd-275.1</t>
    </r>
    <phoneticPr fontId="2"/>
  </si>
  <si>
    <t>Ｅ</t>
    <phoneticPr fontId="2"/>
  </si>
  <si>
    <t>{1-(Ｄ－Ｅ)/Ｃ}×100</t>
    <phoneticPr fontId="2"/>
  </si>
  <si>
    <t>温室効果ガス削減効果</t>
    <rPh sb="0" eb="2">
      <t>オンシツ</t>
    </rPh>
    <rPh sb="2" eb="4">
      <t>コウカ</t>
    </rPh>
    <rPh sb="6" eb="8">
      <t>サクゲン</t>
    </rPh>
    <rPh sb="8" eb="10">
      <t>コウカ</t>
    </rPh>
    <phoneticPr fontId="2"/>
  </si>
  <si>
    <t>GHG排出量</t>
    <rPh sb="3" eb="6">
      <t>ハイシュツリョウ</t>
    </rPh>
    <phoneticPr fontId="2"/>
  </si>
  <si>
    <t>消費電力由来GHG排出量</t>
    <rPh sb="0" eb="2">
      <t>ショウヒ</t>
    </rPh>
    <rPh sb="2" eb="4">
      <t>デンリョク</t>
    </rPh>
    <rPh sb="4" eb="6">
      <t>ユライ</t>
    </rPh>
    <rPh sb="9" eb="12">
      <t>ハイシュツリョウ</t>
    </rPh>
    <phoneticPr fontId="2"/>
  </si>
  <si>
    <t>Y=消費電力量(脱水設備)+消費電力量(焼却設備)</t>
    <rPh sb="2" eb="4">
      <t>ショウヒ</t>
    </rPh>
    <rPh sb="4" eb="6">
      <t>デンリョク</t>
    </rPh>
    <rPh sb="6" eb="7">
      <t>リョウ</t>
    </rPh>
    <rPh sb="8" eb="10">
      <t>ダッスイ</t>
    </rPh>
    <rPh sb="10" eb="12">
      <t>セツビ</t>
    </rPh>
    <rPh sb="20" eb="22">
      <t>ショウキャク</t>
    </rPh>
    <phoneticPr fontId="2"/>
  </si>
  <si>
    <t>⑴+⑵</t>
    <phoneticPr fontId="2"/>
  </si>
  <si>
    <t>GHG排出量原単位・電力
(t-CO2/MWh)</t>
    <rPh sb="3" eb="5">
      <t>ハイシュツ</t>
    </rPh>
    <rPh sb="5" eb="6">
      <t>リョウ</t>
    </rPh>
    <rPh sb="6" eb="9">
      <t>ゲンタンイ</t>
    </rPh>
    <rPh sb="10" eb="12">
      <t>デンリョク</t>
    </rPh>
    <phoneticPr fontId="2"/>
  </si>
  <si>
    <r>
      <t>t-CO</t>
    </r>
    <r>
      <rPr>
        <vertAlign val="subscript"/>
        <sz val="11"/>
        <color theme="1"/>
        <rFont val="游ゴシック"/>
        <family val="3"/>
        <charset val="128"/>
        <scheme val="minor"/>
      </rPr>
      <t>2</t>
    </r>
    <r>
      <rPr>
        <sz val="11"/>
        <color theme="1"/>
        <rFont val="游ゴシック"/>
        <family val="2"/>
        <charset val="128"/>
        <scheme val="minor"/>
      </rPr>
      <t>/年</t>
    </r>
    <rPh sb="6" eb="7">
      <t>ネン</t>
    </rPh>
    <phoneticPr fontId="2"/>
  </si>
  <si>
    <t>❶</t>
    <phoneticPr fontId="2"/>
  </si>
  <si>
    <t>補助燃料由来GHG排出量</t>
    <rPh sb="0" eb="2">
      <t>ホジョ</t>
    </rPh>
    <rPh sb="2" eb="4">
      <t>ネンリョウ</t>
    </rPh>
    <rPh sb="4" eb="6">
      <t>ユライ</t>
    </rPh>
    <rPh sb="9" eb="11">
      <t>ハイシュツ</t>
    </rPh>
    <rPh sb="11" eb="12">
      <t>リョウ</t>
    </rPh>
    <phoneticPr fontId="2"/>
  </si>
  <si>
    <r>
      <t>t-CO</t>
    </r>
    <r>
      <rPr>
        <vertAlign val="subscript"/>
        <sz val="11"/>
        <rFont val="游ゴシック"/>
        <family val="3"/>
        <charset val="128"/>
        <scheme val="minor"/>
      </rPr>
      <t>2</t>
    </r>
    <r>
      <rPr>
        <sz val="11"/>
        <rFont val="游ゴシック"/>
        <family val="3"/>
        <charset val="128"/>
        <scheme val="minor"/>
      </rPr>
      <t>/年</t>
    </r>
    <rPh sb="6" eb="7">
      <t>ネン</t>
    </rPh>
    <phoneticPr fontId="2"/>
  </si>
  <si>
    <t>❷</t>
    <phoneticPr fontId="2"/>
  </si>
  <si>
    <r>
      <t>GHG排出量原単位・補助燃料
(kg-CO2/L or m</t>
    </r>
    <r>
      <rPr>
        <vertAlign val="superscript"/>
        <sz val="11"/>
        <color theme="1"/>
        <rFont val="游ゴシック"/>
        <family val="3"/>
        <charset val="128"/>
        <scheme val="minor"/>
      </rPr>
      <t>3</t>
    </r>
    <r>
      <rPr>
        <sz val="11"/>
        <color theme="1"/>
        <rFont val="游ゴシック"/>
        <family val="2"/>
        <charset val="128"/>
        <scheme val="minor"/>
      </rPr>
      <t>)</t>
    </r>
    <rPh sb="3" eb="5">
      <t>ハイシュツ</t>
    </rPh>
    <rPh sb="5" eb="6">
      <t>リョウ</t>
    </rPh>
    <rPh sb="6" eb="9">
      <t>ゲンタンイ</t>
    </rPh>
    <rPh sb="10" eb="12">
      <t>ホジョ</t>
    </rPh>
    <rPh sb="12" eb="14">
      <t>ネンリョウ</t>
    </rPh>
    <phoneticPr fontId="2"/>
  </si>
  <si>
    <r>
      <t>N</t>
    </r>
    <r>
      <rPr>
        <vertAlign val="subscript"/>
        <sz val="11"/>
        <rFont val="游ゴシック"/>
        <family val="3"/>
        <charset val="128"/>
        <scheme val="minor"/>
      </rPr>
      <t>2</t>
    </r>
    <r>
      <rPr>
        <sz val="11"/>
        <rFont val="游ゴシック"/>
        <family val="3"/>
        <charset val="128"/>
        <scheme val="minor"/>
      </rPr>
      <t>O由来GHG排出量</t>
    </r>
    <rPh sb="3" eb="5">
      <t>ユライ</t>
    </rPh>
    <rPh sb="8" eb="11">
      <t>ハイシュツリョウ</t>
    </rPh>
    <phoneticPr fontId="2"/>
  </si>
  <si>
    <r>
      <t>N</t>
    </r>
    <r>
      <rPr>
        <vertAlign val="subscript"/>
        <sz val="11"/>
        <rFont val="游ゴシック"/>
        <family val="3"/>
        <charset val="128"/>
        <scheme val="minor"/>
      </rPr>
      <t>2</t>
    </r>
    <r>
      <rPr>
        <sz val="11"/>
        <rFont val="游ゴシック"/>
        <family val="3"/>
        <charset val="128"/>
        <scheme val="minor"/>
      </rPr>
      <t>O排出量
(t-N</t>
    </r>
    <r>
      <rPr>
        <vertAlign val="subscript"/>
        <sz val="11"/>
        <rFont val="游ゴシック"/>
        <family val="3"/>
        <charset val="128"/>
        <scheme val="minor"/>
      </rPr>
      <t>2</t>
    </r>
    <r>
      <rPr>
        <sz val="11"/>
        <rFont val="游ゴシック"/>
        <family val="3"/>
        <charset val="128"/>
        <scheme val="minor"/>
      </rPr>
      <t>O/年)</t>
    </r>
    <rPh sb="3" eb="6">
      <t>ハイシュツリョウ</t>
    </rPh>
    <rPh sb="14" eb="15">
      <t>ネン</t>
    </rPh>
    <phoneticPr fontId="2"/>
  </si>
  <si>
    <r>
      <t>Y=処理汚泥量Xy(wet-t/年)
×N2O排出量原単位(kg-N2O/wet-t)×10</t>
    </r>
    <r>
      <rPr>
        <vertAlign val="superscript"/>
        <sz val="11"/>
        <color theme="1"/>
        <rFont val="游ゴシック"/>
        <family val="3"/>
        <charset val="128"/>
        <scheme val="minor"/>
      </rPr>
      <t>-3</t>
    </r>
    <rPh sb="2" eb="4">
      <t>ショリ</t>
    </rPh>
    <rPh sb="23" eb="25">
      <t>ハイシュツ</t>
    </rPh>
    <rPh sb="25" eb="26">
      <t>リョウ</t>
    </rPh>
    <rPh sb="26" eb="29">
      <t>ゲンタンイ</t>
    </rPh>
    <phoneticPr fontId="2"/>
  </si>
  <si>
    <r>
      <t>N</t>
    </r>
    <r>
      <rPr>
        <vertAlign val="subscript"/>
        <sz val="11"/>
        <rFont val="游ゴシック"/>
        <family val="3"/>
        <charset val="128"/>
        <scheme val="minor"/>
      </rPr>
      <t>2</t>
    </r>
    <r>
      <rPr>
        <sz val="11"/>
        <rFont val="游ゴシック"/>
        <family val="2"/>
        <charset val="128"/>
        <scheme val="minor"/>
      </rPr>
      <t>O排出量原単位(kg-N</t>
    </r>
    <r>
      <rPr>
        <vertAlign val="subscript"/>
        <sz val="11"/>
        <rFont val="游ゴシック"/>
        <family val="3"/>
        <charset val="128"/>
        <scheme val="minor"/>
      </rPr>
      <t>2</t>
    </r>
    <r>
      <rPr>
        <sz val="11"/>
        <rFont val="游ゴシック"/>
        <family val="2"/>
        <charset val="128"/>
        <scheme val="minor"/>
      </rPr>
      <t xml:space="preserve">O/wet-t)
</t>
    </r>
    <r>
      <rPr>
        <sz val="11"/>
        <rFont val="游ゴシック"/>
        <family val="3"/>
        <charset val="128"/>
        <scheme val="minor"/>
      </rPr>
      <t>※高温焼却時</t>
    </r>
    <rPh sb="3" eb="5">
      <t>ハイシュツ</t>
    </rPh>
    <rPh sb="5" eb="6">
      <t>リョウ</t>
    </rPh>
    <rPh sb="6" eb="9">
      <t>ゲンタンイ</t>
    </rPh>
    <rPh sb="25" eb="27">
      <t>コウオン</t>
    </rPh>
    <rPh sb="27" eb="29">
      <t>ショウキャク</t>
    </rPh>
    <rPh sb="29" eb="30">
      <t>ジ</t>
    </rPh>
    <phoneticPr fontId="2"/>
  </si>
  <si>
    <r>
      <t>Y=N</t>
    </r>
    <r>
      <rPr>
        <vertAlign val="subscript"/>
        <sz val="11"/>
        <color theme="1"/>
        <rFont val="游ゴシック"/>
        <family val="3"/>
        <charset val="128"/>
        <scheme val="minor"/>
      </rPr>
      <t>2</t>
    </r>
    <r>
      <rPr>
        <sz val="11"/>
        <color theme="1"/>
        <rFont val="游ゴシック"/>
        <family val="2"/>
        <charset val="128"/>
        <scheme val="minor"/>
      </rPr>
      <t>O排出量(t-N</t>
    </r>
    <r>
      <rPr>
        <vertAlign val="subscript"/>
        <sz val="11"/>
        <color theme="1"/>
        <rFont val="游ゴシック"/>
        <family val="3"/>
        <charset val="128"/>
        <scheme val="minor"/>
      </rPr>
      <t>2</t>
    </r>
    <r>
      <rPr>
        <sz val="11"/>
        <color theme="1"/>
        <rFont val="游ゴシック"/>
        <family val="2"/>
        <charset val="128"/>
        <scheme val="minor"/>
      </rPr>
      <t>O/年)×N</t>
    </r>
    <r>
      <rPr>
        <vertAlign val="subscript"/>
        <sz val="11"/>
        <color theme="1"/>
        <rFont val="游ゴシック"/>
        <family val="3"/>
        <charset val="128"/>
        <scheme val="minor"/>
      </rPr>
      <t>2</t>
    </r>
    <r>
      <rPr>
        <sz val="11"/>
        <color theme="1"/>
        <rFont val="游ゴシック"/>
        <family val="2"/>
        <charset val="128"/>
        <scheme val="minor"/>
      </rPr>
      <t>O地球温暖化係数(t-CO</t>
    </r>
    <r>
      <rPr>
        <vertAlign val="subscript"/>
        <sz val="11"/>
        <color theme="1"/>
        <rFont val="游ゴシック"/>
        <family val="3"/>
        <charset val="128"/>
        <scheme val="minor"/>
      </rPr>
      <t>2</t>
    </r>
    <r>
      <rPr>
        <sz val="11"/>
        <color theme="1"/>
        <rFont val="游ゴシック"/>
        <family val="2"/>
        <charset val="128"/>
        <scheme val="minor"/>
      </rPr>
      <t>/t-N</t>
    </r>
    <r>
      <rPr>
        <vertAlign val="subscript"/>
        <sz val="11"/>
        <color theme="1"/>
        <rFont val="游ゴシック"/>
        <family val="3"/>
        <charset val="128"/>
        <scheme val="minor"/>
      </rPr>
      <t>2</t>
    </r>
    <r>
      <rPr>
        <sz val="11"/>
        <color theme="1"/>
        <rFont val="游ゴシック"/>
        <family val="2"/>
        <charset val="128"/>
        <scheme val="minor"/>
      </rPr>
      <t>O)</t>
    </r>
    <rPh sb="5" eb="8">
      <t>ハイシュツリョウ</t>
    </rPh>
    <rPh sb="15" eb="16">
      <t>ネン</t>
    </rPh>
    <phoneticPr fontId="2"/>
  </si>
  <si>
    <t>❸</t>
    <phoneticPr fontId="2"/>
  </si>
  <si>
    <r>
      <t>地球温暖化係数・N2O
(t-CO</t>
    </r>
    <r>
      <rPr>
        <vertAlign val="subscript"/>
        <sz val="11"/>
        <color theme="1"/>
        <rFont val="游ゴシック"/>
        <family val="3"/>
        <charset val="128"/>
        <scheme val="minor"/>
      </rPr>
      <t>2</t>
    </r>
    <r>
      <rPr>
        <sz val="11"/>
        <color theme="1"/>
        <rFont val="游ゴシック"/>
        <family val="2"/>
        <charset val="128"/>
        <scheme val="minor"/>
      </rPr>
      <t>/t-N</t>
    </r>
    <r>
      <rPr>
        <vertAlign val="subscript"/>
        <sz val="11"/>
        <color theme="1"/>
        <rFont val="游ゴシック"/>
        <family val="3"/>
        <charset val="128"/>
        <scheme val="minor"/>
      </rPr>
      <t>2</t>
    </r>
    <r>
      <rPr>
        <sz val="11"/>
        <color theme="1"/>
        <rFont val="游ゴシック"/>
        <family val="2"/>
        <charset val="128"/>
        <scheme val="minor"/>
      </rPr>
      <t>O)</t>
    </r>
    <rPh sb="0" eb="2">
      <t>チキュウ</t>
    </rPh>
    <rPh sb="2" eb="5">
      <t>オンダンカ</t>
    </rPh>
    <rPh sb="5" eb="7">
      <t>ケイスウ</t>
    </rPh>
    <phoneticPr fontId="2"/>
  </si>
  <si>
    <t>薬品由来GHG排出量</t>
    <rPh sb="0" eb="2">
      <t>ヤクヒン</t>
    </rPh>
    <rPh sb="2" eb="4">
      <t>ユライ</t>
    </rPh>
    <rPh sb="7" eb="10">
      <t>ハイシュツリョウ</t>
    </rPh>
    <phoneticPr fontId="2"/>
  </si>
  <si>
    <t>Y=高分子凝集剤使用量(t/年)×GHG排出量原単位(t-CO2/t)
＋苛性ソーダ使用量(t/年)×GHG排出量原単位(t-CO2/t)</t>
    <rPh sb="2" eb="3">
      <t>コウ</t>
    </rPh>
    <rPh sb="3" eb="5">
      <t>ブンシ</t>
    </rPh>
    <rPh sb="5" eb="7">
      <t>ギョウシュウ</t>
    </rPh>
    <rPh sb="7" eb="8">
      <t>ザイ</t>
    </rPh>
    <rPh sb="8" eb="10">
      <t>シヨウ</t>
    </rPh>
    <rPh sb="10" eb="11">
      <t>リョウ</t>
    </rPh>
    <rPh sb="14" eb="15">
      <t>ネン</t>
    </rPh>
    <rPh sb="20" eb="22">
      <t>ハイシュツ</t>
    </rPh>
    <rPh sb="22" eb="23">
      <t>リョウ</t>
    </rPh>
    <rPh sb="23" eb="26">
      <t>ゲンタンイ</t>
    </rPh>
    <rPh sb="37" eb="39">
      <t>カセイ</t>
    </rPh>
    <rPh sb="42" eb="44">
      <t>シヨウ</t>
    </rPh>
    <rPh sb="44" eb="45">
      <t>リョウ</t>
    </rPh>
    <rPh sb="54" eb="56">
      <t>ハイシュツ</t>
    </rPh>
    <rPh sb="56" eb="57">
      <t>リョウ</t>
    </rPh>
    <rPh sb="57" eb="60">
      <t>ゲンタンイ</t>
    </rPh>
    <phoneticPr fontId="2"/>
  </si>
  <si>
    <t>❹：高分子凝集剤使用量=Xy×(1-含水率)×0.5％
　　苛性ソーダ使用量=Xy×0.661％</t>
    <rPh sb="2" eb="5">
      <t>コウブンシ</t>
    </rPh>
    <rPh sb="5" eb="7">
      <t>ギョウシュウ</t>
    </rPh>
    <rPh sb="7" eb="8">
      <t>ザイ</t>
    </rPh>
    <rPh sb="8" eb="10">
      <t>シヨウ</t>
    </rPh>
    <rPh sb="10" eb="11">
      <t>リョウ</t>
    </rPh>
    <rPh sb="18" eb="20">
      <t>ガンスイ</t>
    </rPh>
    <rPh sb="20" eb="21">
      <t>リツ</t>
    </rPh>
    <rPh sb="30" eb="32">
      <t>カセイ</t>
    </rPh>
    <rPh sb="35" eb="37">
      <t>シヨウ</t>
    </rPh>
    <rPh sb="37" eb="38">
      <t>リョウ</t>
    </rPh>
    <phoneticPr fontId="2"/>
  </si>
  <si>
    <t>GHG排出量原単位・
高分子凝集井(t-CO2/t)</t>
    <rPh sb="3" eb="5">
      <t>ハイシュツ</t>
    </rPh>
    <rPh sb="5" eb="6">
      <t>リョウ</t>
    </rPh>
    <rPh sb="6" eb="9">
      <t>ゲンタンイ</t>
    </rPh>
    <rPh sb="11" eb="14">
      <t>コウブンシ</t>
    </rPh>
    <rPh sb="14" eb="16">
      <t>ギョウシュウ</t>
    </rPh>
    <rPh sb="16" eb="17">
      <t>イ</t>
    </rPh>
    <phoneticPr fontId="2"/>
  </si>
  <si>
    <t>GHG排出量原単位
・苛性ソーダ(t-CO2/t)</t>
    <rPh sb="3" eb="5">
      <t>ハイシュツ</t>
    </rPh>
    <rPh sb="5" eb="6">
      <t>リョウ</t>
    </rPh>
    <rPh sb="6" eb="9">
      <t>ゲンタンイ</t>
    </rPh>
    <rPh sb="11" eb="13">
      <t>カセイ</t>
    </rPh>
    <phoneticPr fontId="2"/>
  </si>
  <si>
    <r>
      <t>Ｆ：</t>
    </r>
    <r>
      <rPr>
        <sz val="11"/>
        <color theme="1"/>
        <rFont val="游ゴシック"/>
        <family val="3"/>
        <charset val="128"/>
      </rPr>
      <t>❶+❷+❸+❹+❺</t>
    </r>
    <phoneticPr fontId="2"/>
  </si>
  <si>
    <t>Y=消費電力量(脱水・燃焼・発電設備)</t>
    <rPh sb="2" eb="4">
      <t>ショウヒ</t>
    </rPh>
    <rPh sb="4" eb="6">
      <t>デンリョク</t>
    </rPh>
    <rPh sb="6" eb="7">
      <t>リョウ</t>
    </rPh>
    <rPh sb="8" eb="10">
      <t>ダッスイ</t>
    </rPh>
    <rPh sb="11" eb="13">
      <t>ネンショウ</t>
    </rPh>
    <rPh sb="14" eb="16">
      <t>ハツデン</t>
    </rPh>
    <rPh sb="16" eb="18">
      <t>セツビ</t>
    </rPh>
    <phoneticPr fontId="2"/>
  </si>
  <si>
    <t>⑷+⑸+⑹</t>
    <phoneticPr fontId="2"/>
  </si>
  <si>
    <t>❻</t>
    <phoneticPr fontId="2"/>
  </si>
  <si>
    <t>GHG排出量原単位・A重油
(kg-CO2/L)</t>
    <rPh sb="3" eb="5">
      <t>ハイシュツ</t>
    </rPh>
    <rPh sb="5" eb="6">
      <t>リョウ</t>
    </rPh>
    <rPh sb="6" eb="9">
      <t>ゲンタンイ</t>
    </rPh>
    <rPh sb="11" eb="13">
      <t>ジュウユ</t>
    </rPh>
    <phoneticPr fontId="2"/>
  </si>
  <si>
    <t>❼</t>
    <phoneticPr fontId="2"/>
  </si>
  <si>
    <r>
      <t>N</t>
    </r>
    <r>
      <rPr>
        <vertAlign val="subscript"/>
        <sz val="11"/>
        <rFont val="游ゴシック"/>
        <family val="3"/>
        <charset val="128"/>
        <scheme val="minor"/>
      </rPr>
      <t>2</t>
    </r>
    <r>
      <rPr>
        <sz val="11"/>
        <rFont val="游ゴシック"/>
        <family val="2"/>
        <charset val="128"/>
        <scheme val="minor"/>
      </rPr>
      <t>O排出量原単位(kg-N</t>
    </r>
    <r>
      <rPr>
        <vertAlign val="subscript"/>
        <sz val="11"/>
        <rFont val="游ゴシック"/>
        <family val="3"/>
        <charset val="128"/>
        <scheme val="minor"/>
      </rPr>
      <t>2</t>
    </r>
    <r>
      <rPr>
        <sz val="11"/>
        <rFont val="游ゴシック"/>
        <family val="2"/>
        <charset val="128"/>
        <scheme val="minor"/>
      </rPr>
      <t xml:space="preserve">O/wet-t)
</t>
    </r>
    <r>
      <rPr>
        <sz val="11"/>
        <rFont val="游ゴシック"/>
        <family val="3"/>
        <charset val="128"/>
        <scheme val="minor"/>
      </rPr>
      <t>※革新的技術実証値</t>
    </r>
    <rPh sb="3" eb="5">
      <t>ハイシュツ</t>
    </rPh>
    <rPh sb="5" eb="6">
      <t>リョウ</t>
    </rPh>
    <rPh sb="6" eb="9">
      <t>ゲンタンイ</t>
    </rPh>
    <rPh sb="25" eb="28">
      <t>カクシンテキ</t>
    </rPh>
    <rPh sb="28" eb="30">
      <t>ギジュツ</t>
    </rPh>
    <rPh sb="30" eb="32">
      <t>ジッショウ</t>
    </rPh>
    <rPh sb="32" eb="33">
      <t>チ</t>
    </rPh>
    <phoneticPr fontId="2"/>
  </si>
  <si>
    <t>❽</t>
    <phoneticPr fontId="2"/>
  </si>
  <si>
    <t>Y=高分子凝集剤使用量(t/年)×GHG排出量原単位(t-CO2/t)
＋ポリ硫酸第二鉄使用量(t/年)×GHG排出量原単位(t-CO2/t)
＋苛性ソーダ使用量(t/年)×GHG排出量原単位(t-CO2/t)</t>
    <phoneticPr fontId="2"/>
  </si>
  <si>
    <t>❾</t>
    <phoneticPr fontId="2"/>
  </si>
  <si>
    <t>GHG排出量原単位・
ポリ硫酸第二鉄(t-CO2/t)</t>
    <rPh sb="3" eb="5">
      <t>ハイシュツ</t>
    </rPh>
    <rPh sb="5" eb="6">
      <t>リョウ</t>
    </rPh>
    <rPh sb="6" eb="9">
      <t>ゲンタンイ</t>
    </rPh>
    <rPh sb="13" eb="15">
      <t>リュウサン</t>
    </rPh>
    <rPh sb="15" eb="17">
      <t>ダイニ</t>
    </rPh>
    <rPh sb="17" eb="18">
      <t>テツ</t>
    </rPh>
    <phoneticPr fontId="2"/>
  </si>
  <si>
    <t>GHG排出量原単位
・48%苛性ソーダ(t-CO2/t)</t>
    <rPh sb="3" eb="5">
      <t>ハイシュツ</t>
    </rPh>
    <rPh sb="5" eb="6">
      <t>リョウ</t>
    </rPh>
    <rPh sb="6" eb="9">
      <t>ゲンタンイ</t>
    </rPh>
    <rPh sb="14" eb="16">
      <t>カセイ</t>
    </rPh>
    <phoneticPr fontId="2"/>
  </si>
  <si>
    <t>Ｇ：❻+❼+❽+❾+❿</t>
    <phoneticPr fontId="2"/>
  </si>
  <si>
    <t>発電によるGHG排出削減量</t>
    <rPh sb="0" eb="2">
      <t>ハツデン</t>
    </rPh>
    <rPh sb="8" eb="10">
      <t>ハイシュツ</t>
    </rPh>
    <rPh sb="10" eb="13">
      <t>サクゲンリョウ</t>
    </rPh>
    <phoneticPr fontId="2"/>
  </si>
  <si>
    <t>Y=発電電力量(MWh/年)×GHG排出量原単位(t-CO2/MWh)</t>
    <rPh sb="2" eb="4">
      <t>ハツデン</t>
    </rPh>
    <rPh sb="18" eb="20">
      <t>ハイシュツ</t>
    </rPh>
    <rPh sb="20" eb="21">
      <t>リョウ</t>
    </rPh>
    <rPh sb="21" eb="24">
      <t>ゲンタンイ</t>
    </rPh>
    <phoneticPr fontId="2"/>
  </si>
  <si>
    <t>Ｈ</t>
    <phoneticPr fontId="2"/>
  </si>
  <si>
    <t>{１-(Ｇ－Ｈ)/Ｆ}×100</t>
    <phoneticPr fontId="2"/>
  </si>
  <si>
    <t>対策No.4</t>
    <phoneticPr fontId="2"/>
  </si>
  <si>
    <t>1万m³/日</t>
    <rPh sb="1" eb="2">
      <t>マン</t>
    </rPh>
    <rPh sb="5" eb="6">
      <t>ニチ</t>
    </rPh>
    <phoneticPr fontId="2"/>
  </si>
  <si>
    <t>対策の寄与率
(削減量/現状の総排出量)</t>
    <rPh sb="0" eb="2">
      <t>タイサク</t>
    </rPh>
    <rPh sb="3" eb="6">
      <t>キヨリツ</t>
    </rPh>
    <rPh sb="8" eb="11">
      <t>サクゲンリョウ</t>
    </rPh>
    <rPh sb="12" eb="14">
      <t>ゲンジョウ</t>
    </rPh>
    <rPh sb="15" eb="16">
      <t>ソウ</t>
    </rPh>
    <rPh sb="16" eb="18">
      <t>ハイシュツ</t>
    </rPh>
    <rPh sb="18" eb="19">
      <t>リョウ</t>
    </rPh>
    <phoneticPr fontId="2"/>
  </si>
  <si>
    <t>・各対策の導入効果は「対策後の結果の出力」を参照ください。</t>
    <rPh sb="1" eb="2">
      <t>カク</t>
    </rPh>
    <rPh sb="2" eb="4">
      <t>タイサク</t>
    </rPh>
    <rPh sb="5" eb="7">
      <t>ドウニュウ</t>
    </rPh>
    <rPh sb="7" eb="9">
      <t>コウカ</t>
    </rPh>
    <rPh sb="11" eb="14">
      <t>タイサクゴ</t>
    </rPh>
    <rPh sb="15" eb="17">
      <t>ケッカ</t>
    </rPh>
    <rPh sb="18" eb="20">
      <t>シュツリョク</t>
    </rPh>
    <rPh sb="22" eb="24">
      <t>サンショウ</t>
    </rPh>
    <phoneticPr fontId="2"/>
  </si>
  <si>
    <t>水処理方法</t>
    <rPh sb="0" eb="3">
      <t>ミズショリ</t>
    </rPh>
    <rPh sb="3" eb="5">
      <t>ホウホウ</t>
    </rPh>
    <phoneticPr fontId="2"/>
  </si>
  <si>
    <t xml:space="preserve"> t-CO₂/千m³</t>
    <phoneticPr fontId="2"/>
  </si>
  <si>
    <t>・対策後の結果の出力</t>
    <rPh sb="1" eb="4">
      <t>タイサクゴ</t>
    </rPh>
    <rPh sb="5" eb="7">
      <t>ケッカ</t>
    </rPh>
    <rPh sb="8" eb="10">
      <t>シュツリョク</t>
    </rPh>
    <phoneticPr fontId="2"/>
  </si>
  <si>
    <t>※本削減率は目安値ですので、実際の導入効果を算出するには詳細な検討が必要となります。</t>
    <rPh sb="1" eb="5">
      <t>ホンサクゲンリツ</t>
    </rPh>
    <rPh sb="6" eb="9">
      <t>メヤスチ</t>
    </rPh>
    <rPh sb="14" eb="16">
      <t>ジッサイ</t>
    </rPh>
    <rPh sb="17" eb="21">
      <t>ドウニュウコウカ</t>
    </rPh>
    <rPh sb="22" eb="24">
      <t>サンシュツ</t>
    </rPh>
    <rPh sb="28" eb="30">
      <t>ショウサイ</t>
    </rPh>
    <rPh sb="31" eb="33">
      <t>ケントウ</t>
    </rPh>
    <rPh sb="34" eb="36">
      <t>ヒツヨウ</t>
    </rPh>
    <phoneticPr fontId="2"/>
  </si>
  <si>
    <t>送風機設備</t>
    <rPh sb="0" eb="5">
      <t>ソウフウキセツビ</t>
    </rPh>
    <phoneticPr fontId="2"/>
  </si>
  <si>
    <t>対策導入設備</t>
    <rPh sb="0" eb="2">
      <t>タイサク</t>
    </rPh>
    <rPh sb="2" eb="4">
      <t>ドウニュウ</t>
    </rPh>
    <rPh sb="4" eb="6">
      <t>セツビ</t>
    </rPh>
    <phoneticPr fontId="2"/>
  </si>
  <si>
    <t>反応タンク設備</t>
    <rPh sb="0" eb="2">
      <t>ハンノウ</t>
    </rPh>
    <rPh sb="5" eb="7">
      <t>セツビ</t>
    </rPh>
    <phoneticPr fontId="2"/>
  </si>
  <si>
    <t>反応タンク設備、最終沈殿池設備等水処理設備</t>
    <rPh sb="0" eb="2">
      <t>ハンノウ</t>
    </rPh>
    <rPh sb="5" eb="7">
      <t>セツビ</t>
    </rPh>
    <rPh sb="8" eb="10">
      <t>サイシュウ</t>
    </rPh>
    <rPh sb="10" eb="13">
      <t>チンデンチ</t>
    </rPh>
    <rPh sb="13" eb="15">
      <t>セツビ</t>
    </rPh>
    <rPh sb="15" eb="16">
      <t>トウ</t>
    </rPh>
    <rPh sb="16" eb="17">
      <t>ミズ</t>
    </rPh>
    <rPh sb="17" eb="19">
      <t>ショリ</t>
    </rPh>
    <rPh sb="19" eb="21">
      <t>セツビ</t>
    </rPh>
    <phoneticPr fontId="2"/>
  </si>
  <si>
    <t>反応タンク設備、送風機設備等水処理設備</t>
    <rPh sb="0" eb="2">
      <t>ハンノウ</t>
    </rPh>
    <rPh sb="5" eb="7">
      <t>セツビ</t>
    </rPh>
    <rPh sb="8" eb="11">
      <t>ソウフウキ</t>
    </rPh>
    <rPh sb="11" eb="13">
      <t>セツビ</t>
    </rPh>
    <rPh sb="13" eb="14">
      <t>トウ</t>
    </rPh>
    <rPh sb="14" eb="15">
      <t>ミズ</t>
    </rPh>
    <rPh sb="15" eb="17">
      <t>ショリ</t>
    </rPh>
    <rPh sb="17" eb="19">
      <t>セツビ</t>
    </rPh>
    <phoneticPr fontId="2"/>
  </si>
  <si>
    <t>最初沈殿池、反応タンク設備、最終沈殿池設備</t>
    <rPh sb="0" eb="5">
      <t>サイショチンデンチ</t>
    </rPh>
    <rPh sb="6" eb="8">
      <t>ハンノウ</t>
    </rPh>
    <rPh sb="11" eb="13">
      <t>セツビ</t>
    </rPh>
    <rPh sb="14" eb="16">
      <t>サイシュウ</t>
    </rPh>
    <rPh sb="16" eb="19">
      <t>チンデンチ</t>
    </rPh>
    <rPh sb="19" eb="21">
      <t>セツビ</t>
    </rPh>
    <phoneticPr fontId="2"/>
  </si>
  <si>
    <t>最初沈殿池</t>
    <rPh sb="0" eb="5">
      <t>サイショチンデンチ</t>
    </rPh>
    <phoneticPr fontId="2"/>
  </si>
  <si>
    <t>No.2</t>
    <phoneticPr fontId="2"/>
  </si>
  <si>
    <t>No.1</t>
    <phoneticPr fontId="2"/>
  </si>
  <si>
    <t>No.4、No.5</t>
    <phoneticPr fontId="2"/>
  </si>
  <si>
    <t>No.3、No.5</t>
    <phoneticPr fontId="2"/>
  </si>
  <si>
    <t>No.3、No.4</t>
    <phoneticPr fontId="2"/>
  </si>
  <si>
    <t>組み合わせることができる可能性のある対策※1</t>
    <rPh sb="0" eb="1">
      <t>ク</t>
    </rPh>
    <rPh sb="2" eb="3">
      <t>ア</t>
    </rPh>
    <rPh sb="12" eb="15">
      <t>カノウセイ</t>
    </rPh>
    <rPh sb="18" eb="20">
      <t>タイサク</t>
    </rPh>
    <phoneticPr fontId="2"/>
  </si>
  <si>
    <t>※2</t>
    <phoneticPr fontId="2"/>
  </si>
  <si>
    <t>※ 1各対策の組み合わせに関しては処理場条件により組み合わせることができるもの、できないものがありますので、実際に組み合わせることできるかに関しては詳細な検討が必要となります。</t>
    <rPh sb="3" eb="4">
      <t>カク</t>
    </rPh>
    <rPh sb="4" eb="6">
      <t>タイサク</t>
    </rPh>
    <rPh sb="7" eb="8">
      <t>ク</t>
    </rPh>
    <rPh sb="9" eb="10">
      <t>ア</t>
    </rPh>
    <rPh sb="13" eb="14">
      <t>カン</t>
    </rPh>
    <rPh sb="17" eb="22">
      <t>ショリジョウジョウケン</t>
    </rPh>
    <rPh sb="25" eb="26">
      <t>ク</t>
    </rPh>
    <rPh sb="27" eb="28">
      <t>ア</t>
    </rPh>
    <rPh sb="54" eb="56">
      <t>ジッサイ</t>
    </rPh>
    <rPh sb="57" eb="58">
      <t>ク</t>
    </rPh>
    <rPh sb="59" eb="60">
      <t>ア</t>
    </rPh>
    <rPh sb="70" eb="71">
      <t>カン</t>
    </rPh>
    <rPh sb="74" eb="76">
      <t>ショウサイ</t>
    </rPh>
    <rPh sb="77" eb="79">
      <t>ケントウ</t>
    </rPh>
    <rPh sb="80" eb="82">
      <t>ヒツヨウ</t>
    </rPh>
    <phoneticPr fontId="2"/>
  </si>
  <si>
    <t>※2 B-DASH技術に関しては各対策と実際に組み合わせることができるかに関しては詳細な検討が必要となります。</t>
    <rPh sb="12" eb="13">
      <t>カン</t>
    </rPh>
    <rPh sb="16" eb="19">
      <t>カクタイサク</t>
    </rPh>
    <rPh sb="20" eb="22">
      <t>ジッサイ</t>
    </rPh>
    <phoneticPr fontId="2"/>
  </si>
  <si>
    <t>　上記の「組み合わせることができる可能性のある対策」以外の組み合わせについての可能性を排除するものではありません。</t>
    <rPh sb="1" eb="3">
      <t>ジョウキ</t>
    </rPh>
    <rPh sb="5" eb="6">
      <t>ク</t>
    </rPh>
    <rPh sb="7" eb="8">
      <t>ア</t>
    </rPh>
    <rPh sb="17" eb="20">
      <t>カノウセイ</t>
    </rPh>
    <rPh sb="23" eb="25">
      <t>タイサク</t>
    </rPh>
    <rPh sb="26" eb="28">
      <t>イガイ</t>
    </rPh>
    <rPh sb="29" eb="30">
      <t>ク</t>
    </rPh>
    <rPh sb="31" eb="32">
      <t>ア</t>
    </rPh>
    <rPh sb="39" eb="42">
      <t>カノウセイ</t>
    </rPh>
    <rPh sb="43" eb="45">
      <t>ハイジョ</t>
    </rPh>
    <phoneticPr fontId="2"/>
  </si>
  <si>
    <t>水処理設備</t>
    <rPh sb="0" eb="3">
      <t>ミズショリ</t>
    </rPh>
    <rPh sb="3" eb="5">
      <t>セツビ</t>
    </rPh>
    <phoneticPr fontId="2"/>
  </si>
  <si>
    <t>組み合わせることができる
可能性のある対策※1</t>
    <phoneticPr fontId="2"/>
  </si>
  <si>
    <t>機械濃縮設備</t>
    <rPh sb="0" eb="2">
      <t>キカイ</t>
    </rPh>
    <rPh sb="2" eb="6">
      <t>ノウシュクセツビ</t>
    </rPh>
    <phoneticPr fontId="2"/>
  </si>
  <si>
    <t>消化設備</t>
    <rPh sb="0" eb="2">
      <t>ショウカ</t>
    </rPh>
    <rPh sb="2" eb="4">
      <t>セツビ</t>
    </rPh>
    <phoneticPr fontId="2"/>
  </si>
  <si>
    <t>機械脱水設備</t>
    <rPh sb="0" eb="2">
      <t>キカイ</t>
    </rPh>
    <rPh sb="2" eb="4">
      <t>ダッスイ</t>
    </rPh>
    <rPh sb="4" eb="6">
      <t>セツビ</t>
    </rPh>
    <phoneticPr fontId="2"/>
  </si>
  <si>
    <t>No.1、No.2</t>
    <phoneticPr fontId="2"/>
  </si>
  <si>
    <t>No.2、No.3</t>
    <phoneticPr fontId="2"/>
  </si>
  <si>
    <t>No.1、No.3</t>
    <phoneticPr fontId="2"/>
  </si>
  <si>
    <t>総費用（年価換算値）を算出する場合入力</t>
    <rPh sb="11" eb="13">
      <t>サンシュツ</t>
    </rPh>
    <rPh sb="15" eb="17">
      <t>バアイ</t>
    </rPh>
    <rPh sb="17" eb="19">
      <t>ニュウリョク</t>
    </rPh>
    <phoneticPr fontId="2"/>
  </si>
  <si>
    <t>　費用を算出する場合非表示になっている42~95を再表示させて下さい</t>
    <rPh sb="1" eb="3">
      <t>ヒヨウ</t>
    </rPh>
    <rPh sb="4" eb="6">
      <t>サンシュツ</t>
    </rPh>
    <rPh sb="8" eb="10">
      <t>バアイ</t>
    </rPh>
    <rPh sb="10" eb="13">
      <t>ヒヒョウジ</t>
    </rPh>
    <rPh sb="25" eb="26">
      <t>サイ</t>
    </rPh>
    <rPh sb="26" eb="28">
      <t>ヒョウジ</t>
    </rPh>
    <rPh sb="31" eb="32">
      <t>クダ</t>
    </rPh>
    <phoneticPr fontId="2"/>
  </si>
  <si>
    <t>以降の計算シートは「脱水・燃焼・発電を全体最適化した革新的下水汚泥エネルギー転換システムの実証事業」における技術導入効果計算シートの転載になります。</t>
    <rPh sb="0" eb="2">
      <t>イコウ</t>
    </rPh>
    <rPh sb="3" eb="5">
      <t>ケイサン</t>
    </rPh>
    <rPh sb="54" eb="56">
      <t>ギジュツ</t>
    </rPh>
    <rPh sb="56" eb="58">
      <t>ドウニュウ</t>
    </rPh>
    <rPh sb="58" eb="60">
      <t>コウカ</t>
    </rPh>
    <rPh sb="60" eb="62">
      <t>ケイサン</t>
    </rPh>
    <rPh sb="66" eb="68">
      <t>テンサイ</t>
    </rPh>
    <phoneticPr fontId="2"/>
  </si>
  <si>
    <t>・本技術のイメージ</t>
    <rPh sb="1" eb="4">
      <t>ホンギジュツ</t>
    </rPh>
    <phoneticPr fontId="2"/>
  </si>
  <si>
    <t>機械脱水設備、汚泥焼却設備、廃熱発電設備</t>
    <rPh sb="0" eb="2">
      <t>キカイ</t>
    </rPh>
    <rPh sb="2" eb="4">
      <t>ダッスイ</t>
    </rPh>
    <rPh sb="4" eb="6">
      <t>セツビ</t>
    </rPh>
    <rPh sb="7" eb="11">
      <t>オデイショウキャク</t>
    </rPh>
    <rPh sb="11" eb="13">
      <t>セツビ</t>
    </rPh>
    <rPh sb="14" eb="16">
      <t>ハイネツ</t>
    </rPh>
    <rPh sb="16" eb="18">
      <t>ハツデン</t>
    </rPh>
    <rPh sb="18" eb="20">
      <t>セツビ</t>
    </rPh>
    <phoneticPr fontId="2"/>
  </si>
  <si>
    <t>汚泥焼却設備を有する処理場</t>
    <rPh sb="0" eb="2">
      <t>オデイ</t>
    </rPh>
    <rPh sb="2" eb="4">
      <t>ショウキャク</t>
    </rPh>
    <rPh sb="4" eb="6">
      <t>セツビ</t>
    </rPh>
    <rPh sb="7" eb="8">
      <t>ユウ</t>
    </rPh>
    <rPh sb="10" eb="13">
      <t>ショリジョウ</t>
    </rPh>
    <phoneticPr fontId="2"/>
  </si>
  <si>
    <t>対策No.4</t>
  </si>
  <si>
    <t>【従来技術】</t>
    <phoneticPr fontId="2"/>
  </si>
  <si>
    <t>脱水汚泥焼却量：Xw(wet-t/日)</t>
    <rPh sb="0" eb="2">
      <t>ダッスイ</t>
    </rPh>
    <rPh sb="2" eb="4">
      <t>オデイ</t>
    </rPh>
    <rPh sb="4" eb="6">
      <t>ショウキャク</t>
    </rPh>
    <rPh sb="6" eb="7">
      <t>リョウ</t>
    </rPh>
    <rPh sb="17" eb="18">
      <t>ニチ</t>
    </rPh>
    <phoneticPr fontId="2"/>
  </si>
  <si>
    <t>稼働日数(日/年)</t>
    <rPh sb="0" eb="2">
      <t>カドウ</t>
    </rPh>
    <rPh sb="2" eb="4">
      <t>ニッスウ</t>
    </rPh>
    <phoneticPr fontId="2"/>
  </si>
  <si>
    <t>脱水汚泥含水率(％)</t>
    <rPh sb="0" eb="2">
      <t>ダッスイ</t>
    </rPh>
    <rPh sb="2" eb="4">
      <t>オデイ</t>
    </rPh>
    <rPh sb="4" eb="6">
      <t>ガンスイ</t>
    </rPh>
    <rPh sb="6" eb="7">
      <t>リツ</t>
    </rPh>
    <phoneticPr fontId="2"/>
  </si>
  <si>
    <t>年間稼働割合(自動入力)</t>
    <rPh sb="0" eb="2">
      <t>ネンカン</t>
    </rPh>
    <rPh sb="2" eb="4">
      <t>カドウ</t>
    </rPh>
    <rPh sb="4" eb="6">
      <t>ワリアイ</t>
    </rPh>
    <rPh sb="7" eb="9">
      <t>ジドウ</t>
    </rPh>
    <rPh sb="9" eb="11">
      <t>ニュウリョク</t>
    </rPh>
    <phoneticPr fontId="2"/>
  </si>
  <si>
    <t>汚泥中固形物量：XD(t-DS/日)(自動入力)</t>
    <rPh sb="0" eb="2">
      <t>オデイ</t>
    </rPh>
    <rPh sb="2" eb="3">
      <t>チュウ</t>
    </rPh>
    <rPh sb="3" eb="6">
      <t>コケイブツ</t>
    </rPh>
    <rPh sb="6" eb="7">
      <t>リョウ</t>
    </rPh>
    <rPh sb="19" eb="21">
      <t>ジドウ</t>
    </rPh>
    <rPh sb="21" eb="23">
      <t>ニュウリョク</t>
    </rPh>
    <phoneticPr fontId="2"/>
  </si>
  <si>
    <t>負荷率（設備規模に対する投入量の割合）</t>
    <rPh sb="0" eb="2">
      <t>フカ</t>
    </rPh>
    <rPh sb="2" eb="3">
      <t>リツ</t>
    </rPh>
    <rPh sb="4" eb="6">
      <t>セツビ</t>
    </rPh>
    <rPh sb="6" eb="8">
      <t>キボ</t>
    </rPh>
    <rPh sb="9" eb="10">
      <t>タイ</t>
    </rPh>
    <rPh sb="12" eb="14">
      <t>トウニュウ</t>
    </rPh>
    <rPh sb="14" eb="15">
      <t>リョウ</t>
    </rPh>
    <rPh sb="16" eb="18">
      <t>ワリアイ</t>
    </rPh>
    <phoneticPr fontId="2"/>
  </si>
  <si>
    <t>【革新的技術】</t>
    <phoneticPr fontId="2"/>
  </si>
  <si>
    <t>↓</t>
    <phoneticPr fontId="2"/>
  </si>
  <si>
    <t>エネルギー換算係数</t>
    <rPh sb="5" eb="7">
      <t>カンサン</t>
    </rPh>
    <rPh sb="7" eb="9">
      <t>ケイスウ</t>
    </rPh>
    <phoneticPr fontId="2"/>
  </si>
  <si>
    <t>温室効果ガス換算係数</t>
    <rPh sb="0" eb="2">
      <t>オンシツ</t>
    </rPh>
    <rPh sb="2" eb="4">
      <t>コウカ</t>
    </rPh>
    <rPh sb="6" eb="8">
      <t>カンサン</t>
    </rPh>
    <rPh sb="8" eb="10">
      <t>ケイスウ</t>
    </rPh>
    <phoneticPr fontId="2"/>
  </si>
  <si>
    <r>
      <t>無機系凝集剤中鉄分による固形物増加</t>
    </r>
    <r>
      <rPr>
        <sz val="11"/>
        <color theme="1"/>
        <rFont val="游ゴシック"/>
        <family val="3"/>
        <charset val="128"/>
        <scheme val="minor"/>
      </rPr>
      <t>(</t>
    </r>
    <r>
      <rPr>
        <sz val="11"/>
        <color theme="1"/>
        <rFont val="游ゴシック"/>
        <family val="2"/>
        <charset val="128"/>
        <scheme val="minor"/>
      </rPr>
      <t>％</t>
    </r>
    <r>
      <rPr>
        <sz val="11"/>
        <color theme="1"/>
        <rFont val="游ゴシック"/>
        <family val="3"/>
        <charset val="128"/>
        <scheme val="minor"/>
      </rPr>
      <t>)</t>
    </r>
    <r>
      <rPr>
        <vertAlign val="superscript"/>
        <sz val="11"/>
        <color theme="1"/>
        <rFont val="游ゴシック"/>
        <family val="3"/>
        <charset val="128"/>
        <scheme val="minor"/>
      </rPr>
      <t>※1</t>
    </r>
    <rPh sb="0" eb="2">
      <t>ムキ</t>
    </rPh>
    <rPh sb="2" eb="3">
      <t>ケイ</t>
    </rPh>
    <rPh sb="3" eb="5">
      <t>ギョウシュウ</t>
    </rPh>
    <rPh sb="5" eb="6">
      <t>ザイ</t>
    </rPh>
    <rPh sb="6" eb="7">
      <t>チュウ</t>
    </rPh>
    <rPh sb="7" eb="9">
      <t>テツブン</t>
    </rPh>
    <rPh sb="12" eb="15">
      <t>コケイブツ</t>
    </rPh>
    <rPh sb="15" eb="17">
      <t>ゾウカ</t>
    </rPh>
    <phoneticPr fontId="2"/>
  </si>
  <si>
    <t>固形物量合計(t-DS/日)(自動入力)</t>
    <rPh sb="0" eb="3">
      <t>コケイブツ</t>
    </rPh>
    <rPh sb="3" eb="4">
      <t>リョウ</t>
    </rPh>
    <rPh sb="15" eb="17">
      <t>ジドウ</t>
    </rPh>
    <rPh sb="17" eb="19">
      <t>ニュウリョク</t>
    </rPh>
    <phoneticPr fontId="2"/>
  </si>
  <si>
    <t>機内二液調質型脱水汚泥含水率(％)</t>
    <rPh sb="0" eb="2">
      <t>キナイ</t>
    </rPh>
    <rPh sb="2" eb="3">
      <t>ニ</t>
    </rPh>
    <rPh sb="3" eb="4">
      <t>エキ</t>
    </rPh>
    <rPh sb="4" eb="6">
      <t>チョウシツ</t>
    </rPh>
    <rPh sb="6" eb="7">
      <t>カタ</t>
    </rPh>
    <rPh sb="7" eb="9">
      <t>ダッスイ</t>
    </rPh>
    <rPh sb="9" eb="11">
      <t>オデイ</t>
    </rPh>
    <rPh sb="11" eb="13">
      <t>ガンスイ</t>
    </rPh>
    <rPh sb="13" eb="14">
      <t>リツ</t>
    </rPh>
    <phoneticPr fontId="2"/>
  </si>
  <si>
    <t>脱水汚泥焼却量：Xwb(t-wet/日)(自動入力)</t>
    <rPh sb="0" eb="2">
      <t>ダッスイ</t>
    </rPh>
    <rPh sb="2" eb="4">
      <t>オデイ</t>
    </rPh>
    <rPh sb="4" eb="6">
      <t>ショウキャク</t>
    </rPh>
    <rPh sb="6" eb="7">
      <t>リョウ</t>
    </rPh>
    <rPh sb="18" eb="19">
      <t>ニチ</t>
    </rPh>
    <phoneticPr fontId="2"/>
  </si>
  <si>
    <t>※1 検討処理場の実績値から算出した値。</t>
    <phoneticPr fontId="2"/>
  </si>
  <si>
    <t>総費用（年価換算値)</t>
    <rPh sb="0" eb="3">
      <t>ソウヒヨウ</t>
    </rPh>
    <rPh sb="4" eb="6">
      <t>ネンカ</t>
    </rPh>
    <rPh sb="6" eb="9">
      <t>カンサンチ</t>
    </rPh>
    <phoneticPr fontId="2"/>
  </si>
  <si>
    <t>※従来技術　（一液脱水機＋流動炉）</t>
    <rPh sb="1" eb="3">
      <t>ジュウライ</t>
    </rPh>
    <rPh sb="7" eb="8">
      <t>イチ</t>
    </rPh>
    <rPh sb="8" eb="9">
      <t>エキ</t>
    </rPh>
    <rPh sb="13" eb="15">
      <t>リュウドウ</t>
    </rPh>
    <phoneticPr fontId="2"/>
  </si>
  <si>
    <t>　革新的技術（機内二液調質型遠心脱水機＋階段炉（ボイラー付）＋蒸気発電機）</t>
    <phoneticPr fontId="2"/>
  </si>
  <si>
    <t>費用（百万円）</t>
    <rPh sb="0" eb="2">
      <t>ヒヨウ</t>
    </rPh>
    <rPh sb="3" eb="5">
      <t>ヒャクマン</t>
    </rPh>
    <rPh sb="5" eb="6">
      <t>エン</t>
    </rPh>
    <phoneticPr fontId="2"/>
  </si>
  <si>
    <t>従来技術</t>
    <phoneticPr fontId="2"/>
  </si>
  <si>
    <t>土木建築施設費</t>
    <rPh sb="4" eb="6">
      <t>シセツ</t>
    </rPh>
    <phoneticPr fontId="2"/>
  </si>
  <si>
    <t>百万円</t>
    <phoneticPr fontId="2"/>
  </si>
  <si>
    <r>
      <t>Y=0.227×（XD(t-DS/日)／1%）</t>
    </r>
    <r>
      <rPr>
        <vertAlign val="superscript"/>
        <sz val="11"/>
        <color theme="1"/>
        <rFont val="游ゴシック"/>
        <family val="3"/>
        <charset val="128"/>
        <scheme val="minor"/>
      </rPr>
      <t>0.444</t>
    </r>
    <r>
      <rPr>
        <sz val="11"/>
        <color theme="1"/>
        <rFont val="游ゴシック"/>
        <family val="3"/>
        <charset val="128"/>
        <scheme val="minor"/>
      </rPr>
      <t>×100</t>
    </r>
    <phoneticPr fontId="2"/>
  </si>
  <si>
    <t>①、XD：汚泥中固形物量(t-DS/日)
投入汚泥の濃度を1%として計画投入汚泥量を算出。</t>
    <phoneticPr fontId="2"/>
  </si>
  <si>
    <t>機械設備費</t>
    <rPh sb="0" eb="2">
      <t>キカイ</t>
    </rPh>
    <rPh sb="2" eb="4">
      <t>セツビ</t>
    </rPh>
    <rPh sb="4" eb="5">
      <t>ヒ</t>
    </rPh>
    <phoneticPr fontId="2"/>
  </si>
  <si>
    <r>
      <t>Y=0.434×（XD(t-DS/日)／1%）</t>
    </r>
    <r>
      <rPr>
        <vertAlign val="superscript"/>
        <sz val="11"/>
        <color theme="1"/>
        <rFont val="游ゴシック"/>
        <family val="3"/>
        <charset val="128"/>
        <scheme val="minor"/>
      </rPr>
      <t>0.373</t>
    </r>
    <r>
      <rPr>
        <sz val="11"/>
        <color theme="1"/>
        <rFont val="游ゴシック"/>
        <family val="3"/>
        <charset val="128"/>
        <scheme val="minor"/>
      </rPr>
      <t>×100</t>
    </r>
    <phoneticPr fontId="2"/>
  </si>
  <si>
    <t>②、XD：汚泥中固形物量(t-DS/日)
投入汚泥の濃度を1%として計画投入汚泥量を算出。脱水機付属盤からの二次側配線工事及び計装工事を含む。</t>
    <rPh sb="5" eb="7">
      <t>オデイ</t>
    </rPh>
    <rPh sb="7" eb="8">
      <t>チュウ</t>
    </rPh>
    <rPh sb="8" eb="11">
      <t>コケイブツ</t>
    </rPh>
    <rPh sb="11" eb="12">
      <t>リョウ</t>
    </rPh>
    <rPh sb="18" eb="19">
      <t>ニチ</t>
    </rPh>
    <rPh sb="42" eb="44">
      <t>サンシュツ</t>
    </rPh>
    <rPh sb="45" eb="48">
      <t>ダッスイキ</t>
    </rPh>
    <rPh sb="48" eb="50">
      <t>フゾク</t>
    </rPh>
    <rPh sb="50" eb="51">
      <t>バン</t>
    </rPh>
    <rPh sb="54" eb="56">
      <t>ニジ</t>
    </rPh>
    <rPh sb="56" eb="57">
      <t>ガワ</t>
    </rPh>
    <rPh sb="57" eb="59">
      <t>ハイセン</t>
    </rPh>
    <rPh sb="59" eb="61">
      <t>コウジ</t>
    </rPh>
    <rPh sb="61" eb="62">
      <t>オヨ</t>
    </rPh>
    <rPh sb="63" eb="65">
      <t>ケイソウ</t>
    </rPh>
    <rPh sb="65" eb="67">
      <t>コウジ</t>
    </rPh>
    <rPh sb="68" eb="69">
      <t>フク</t>
    </rPh>
    <phoneticPr fontId="2"/>
  </si>
  <si>
    <r>
      <t>Y=2.426Xw</t>
    </r>
    <r>
      <rPr>
        <vertAlign val="superscript"/>
        <sz val="11"/>
        <color theme="1"/>
        <rFont val="游ゴシック"/>
        <family val="3"/>
        <charset val="128"/>
        <scheme val="minor"/>
      </rPr>
      <t>0.0094</t>
    </r>
    <r>
      <rPr>
        <sz val="11"/>
        <color theme="1"/>
        <rFont val="游ゴシック"/>
        <family val="3"/>
        <charset val="128"/>
        <scheme val="minor"/>
      </rPr>
      <t>×100</t>
    </r>
    <phoneticPr fontId="2"/>
  </si>
  <si>
    <t>③、Xw：脱水汚泥焼却量(wet-t/日)</t>
    <rPh sb="5" eb="7">
      <t>ダッスイ</t>
    </rPh>
    <rPh sb="7" eb="9">
      <t>オデイ</t>
    </rPh>
    <rPh sb="9" eb="11">
      <t>ショウキャク</t>
    </rPh>
    <rPh sb="11" eb="12">
      <t>リョウ</t>
    </rPh>
    <rPh sb="19" eb="20">
      <t>ヒ</t>
    </rPh>
    <phoneticPr fontId="2"/>
  </si>
  <si>
    <r>
      <t>Y=1.888Xw</t>
    </r>
    <r>
      <rPr>
        <vertAlign val="superscript"/>
        <sz val="11"/>
        <color theme="1"/>
        <rFont val="游ゴシック"/>
        <family val="3"/>
        <charset val="128"/>
        <scheme val="minor"/>
      </rPr>
      <t>0.597</t>
    </r>
    <r>
      <rPr>
        <sz val="11"/>
        <color theme="1"/>
        <rFont val="游ゴシック"/>
        <family val="3"/>
        <charset val="128"/>
        <scheme val="minor"/>
      </rPr>
      <t>×100</t>
    </r>
    <phoneticPr fontId="2"/>
  </si>
  <si>
    <t>④、Xw：脱水汚泥焼却量(wet-t/日)</t>
    <phoneticPr fontId="2"/>
  </si>
  <si>
    <t>電気設備費</t>
    <rPh sb="0" eb="2">
      <t>デンキ</t>
    </rPh>
    <rPh sb="2" eb="4">
      <t>セツビ</t>
    </rPh>
    <rPh sb="4" eb="5">
      <t>ヒ</t>
    </rPh>
    <phoneticPr fontId="2"/>
  </si>
  <si>
    <r>
      <t>Y=0.726Xw</t>
    </r>
    <r>
      <rPr>
        <vertAlign val="superscript"/>
        <sz val="11"/>
        <color theme="1"/>
        <rFont val="游ゴシック"/>
        <family val="3"/>
        <charset val="128"/>
        <scheme val="minor"/>
      </rPr>
      <t>0.539</t>
    </r>
    <r>
      <rPr>
        <sz val="11"/>
        <color theme="1"/>
        <rFont val="游ゴシック"/>
        <family val="3"/>
        <charset val="128"/>
        <scheme val="minor"/>
      </rPr>
      <t>×100</t>
    </r>
    <phoneticPr fontId="2"/>
  </si>
  <si>
    <t>⑤、Xw：脱水汚泥焼却量(wet-t/日)</t>
    <phoneticPr fontId="2"/>
  </si>
  <si>
    <t>建設費合計</t>
    <phoneticPr fontId="2"/>
  </si>
  <si>
    <t>⑥：①＋②＋③＋④＋⑤</t>
    <phoneticPr fontId="2"/>
  </si>
  <si>
    <t>⑦、i：利子率、n：耐用年数
※工種別に年価を算出し、合計する。</t>
    <rPh sb="4" eb="7">
      <t>リシリツ</t>
    </rPh>
    <rPh sb="10" eb="12">
      <t>タイヨウ</t>
    </rPh>
    <rPh sb="12" eb="14">
      <t>ネンスウ</t>
    </rPh>
    <rPh sb="23" eb="25">
      <t>サンシュツ</t>
    </rPh>
    <phoneticPr fontId="2"/>
  </si>
  <si>
    <t>利子率</t>
    <rPh sb="0" eb="2">
      <t>リシ</t>
    </rPh>
    <rPh sb="2" eb="3">
      <t>リツ</t>
    </rPh>
    <phoneticPr fontId="2"/>
  </si>
  <si>
    <t>維持管理費
(電力、燃料、薬品費、補修費、人件費)</t>
    <rPh sb="0" eb="2">
      <t>イジ</t>
    </rPh>
    <rPh sb="2" eb="5">
      <t>カンリヒ</t>
    </rPh>
    <rPh sb="7" eb="9">
      <t>デンリョク</t>
    </rPh>
    <rPh sb="10" eb="12">
      <t>ネンリョウ</t>
    </rPh>
    <rPh sb="13" eb="15">
      <t>ヤクヒン</t>
    </rPh>
    <rPh sb="15" eb="16">
      <t>ヒ</t>
    </rPh>
    <rPh sb="17" eb="20">
      <t>ホシュウヒ</t>
    </rPh>
    <rPh sb="21" eb="24">
      <t>ジンケンヒ</t>
    </rPh>
    <phoneticPr fontId="2"/>
  </si>
  <si>
    <r>
      <t>Y</t>
    </r>
    <r>
      <rPr>
        <sz val="11"/>
        <color theme="1"/>
        <rFont val="游ゴシック"/>
        <family val="2"/>
        <charset val="128"/>
        <scheme val="minor"/>
      </rPr>
      <t>=0.039×（XD(t-DS/日)／1%×稼働日数(日/年)×
負荷率(％)）</t>
    </r>
    <r>
      <rPr>
        <vertAlign val="superscript"/>
        <sz val="11"/>
        <color theme="1"/>
        <rFont val="游ゴシック"/>
        <family val="3"/>
        <charset val="128"/>
        <scheme val="minor"/>
      </rPr>
      <t>0.596</t>
    </r>
    <rPh sb="23" eb="25">
      <t>カドウ</t>
    </rPh>
    <rPh sb="25" eb="27">
      <t>ニッスウ</t>
    </rPh>
    <rPh sb="28" eb="29">
      <t>ニチ</t>
    </rPh>
    <rPh sb="30" eb="31">
      <t>ネン</t>
    </rPh>
    <rPh sb="34" eb="36">
      <t>フカ</t>
    </rPh>
    <rPh sb="36" eb="37">
      <t>リツ</t>
    </rPh>
    <phoneticPr fontId="2"/>
  </si>
  <si>
    <t>⑧、XD：汚泥中固形物量(t-DS/日)
投入汚泥の濃度を1%として年間処理汚泥量を算出。</t>
    <rPh sb="34" eb="36">
      <t>ネンカン</t>
    </rPh>
    <rPh sb="36" eb="38">
      <t>ショリ</t>
    </rPh>
    <rPh sb="38" eb="40">
      <t>オデイ</t>
    </rPh>
    <rPh sb="40" eb="41">
      <t>リョウ</t>
    </rPh>
    <phoneticPr fontId="2"/>
  </si>
  <si>
    <t>耐用年数(年)</t>
    <rPh sb="0" eb="2">
      <t>タイヨウ</t>
    </rPh>
    <rPh sb="2" eb="4">
      <t>ネンスウ</t>
    </rPh>
    <rPh sb="5" eb="6">
      <t>ネン</t>
    </rPh>
    <phoneticPr fontId="2"/>
  </si>
  <si>
    <t>土木建築設備</t>
    <rPh sb="0" eb="2">
      <t>ドボク</t>
    </rPh>
    <rPh sb="2" eb="4">
      <t>ケンチク</t>
    </rPh>
    <rPh sb="4" eb="6">
      <t>セツビ</t>
    </rPh>
    <phoneticPr fontId="2"/>
  </si>
  <si>
    <t>脱水設備</t>
    <rPh sb="0" eb="4">
      <t>ダッスイセツビ</t>
    </rPh>
    <phoneticPr fontId="2"/>
  </si>
  <si>
    <r>
      <t>Y</t>
    </r>
    <r>
      <rPr>
        <sz val="11"/>
        <color theme="1"/>
        <rFont val="游ゴシック"/>
        <family val="2"/>
        <charset val="128"/>
        <scheme val="minor"/>
      </rPr>
      <t>=0.287（Xw(t-wet/日)×稼働日数(日/年)×
負荷率(％)）</t>
    </r>
    <r>
      <rPr>
        <vertAlign val="superscript"/>
        <sz val="11"/>
        <color theme="1"/>
        <rFont val="游ゴシック"/>
        <family val="3"/>
        <charset val="128"/>
        <scheme val="minor"/>
      </rPr>
      <t>0.673</t>
    </r>
    <rPh sb="17" eb="18">
      <t>ニチ</t>
    </rPh>
    <phoneticPr fontId="2"/>
  </si>
  <si>
    <t>⑨ 、Xw：脱水汚泥焼却量(wet-t/日)</t>
    <phoneticPr fontId="2"/>
  </si>
  <si>
    <t>維持管理費(灰処分費)</t>
    <rPh sb="0" eb="2">
      <t>イジ</t>
    </rPh>
    <rPh sb="2" eb="5">
      <t>カンリヒ</t>
    </rPh>
    <phoneticPr fontId="2"/>
  </si>
  <si>
    <r>
      <t>Y=XD(t-DS/日)×（1－固形物中可燃分率(%-DS))×稼働日数(日/年)×負荷率(％)／（1－0.3）×単価(円/t)×10</t>
    </r>
    <r>
      <rPr>
        <vertAlign val="superscript"/>
        <sz val="11"/>
        <color theme="1"/>
        <rFont val="游ゴシック"/>
        <family val="3"/>
        <charset val="128"/>
        <scheme val="minor"/>
      </rPr>
      <t>-6</t>
    </r>
    <rPh sb="10" eb="11">
      <t>ニチ</t>
    </rPh>
    <rPh sb="16" eb="19">
      <t>コケイブツ</t>
    </rPh>
    <rPh sb="19" eb="20">
      <t>チュウ</t>
    </rPh>
    <rPh sb="20" eb="22">
      <t>カネン</t>
    </rPh>
    <rPh sb="22" eb="23">
      <t>ブン</t>
    </rPh>
    <rPh sb="23" eb="24">
      <t>リツ</t>
    </rPh>
    <rPh sb="57" eb="59">
      <t>タンカ</t>
    </rPh>
    <rPh sb="60" eb="61">
      <t>エン</t>
    </rPh>
    <phoneticPr fontId="2"/>
  </si>
  <si>
    <t>⑩、XD：汚泥中固形物量(t-DS/日)
完全燃焼した灰(熱灼減量0%)を含水率30％に加湿して搬出するとして算出。</t>
    <rPh sb="21" eb="23">
      <t>カンゼン</t>
    </rPh>
    <rPh sb="23" eb="25">
      <t>ネンショウ</t>
    </rPh>
    <rPh sb="27" eb="28">
      <t>ハイ</t>
    </rPh>
    <rPh sb="29" eb="30">
      <t>ネツ</t>
    </rPh>
    <rPh sb="30" eb="31">
      <t>シャク</t>
    </rPh>
    <rPh sb="31" eb="33">
      <t>ゲンリョウ</t>
    </rPh>
    <rPh sb="37" eb="39">
      <t>ガンスイ</t>
    </rPh>
    <rPh sb="39" eb="40">
      <t>リツ</t>
    </rPh>
    <rPh sb="44" eb="46">
      <t>カシツ</t>
    </rPh>
    <rPh sb="48" eb="50">
      <t>ハンシュツ</t>
    </rPh>
    <rPh sb="55" eb="57">
      <t>サンシュツ</t>
    </rPh>
    <phoneticPr fontId="2"/>
  </si>
  <si>
    <t>※バイオソリッド利活用基本計画策定マニュアルに基づき設定</t>
    <rPh sb="23" eb="24">
      <t>モト</t>
    </rPh>
    <rPh sb="26" eb="28">
      <t>セッテイ</t>
    </rPh>
    <phoneticPr fontId="2"/>
  </si>
  <si>
    <t>焼却設備維持管理費合計</t>
    <rPh sb="0" eb="2">
      <t>ショウキャク</t>
    </rPh>
    <rPh sb="2" eb="4">
      <t>セツビ</t>
    </rPh>
    <rPh sb="4" eb="6">
      <t>イジ</t>
    </rPh>
    <rPh sb="6" eb="9">
      <t>カンリヒ</t>
    </rPh>
    <phoneticPr fontId="2"/>
  </si>
  <si>
    <t>⑪：⑨＋⑩</t>
    <phoneticPr fontId="2"/>
  </si>
  <si>
    <t>維持管理費合計</t>
    <rPh sb="0" eb="2">
      <t>イジ</t>
    </rPh>
    <rPh sb="2" eb="5">
      <t>カンリヒ</t>
    </rPh>
    <phoneticPr fontId="2"/>
  </si>
  <si>
    <t>⑫：⑧＋⑪</t>
    <phoneticPr fontId="2"/>
  </si>
  <si>
    <t>解体・撤去費</t>
    <rPh sb="0" eb="2">
      <t>カイタイ</t>
    </rPh>
    <rPh sb="3" eb="5">
      <t>テッキョ</t>
    </rPh>
    <rPh sb="5" eb="6">
      <t>ヒ</t>
    </rPh>
    <phoneticPr fontId="2"/>
  </si>
  <si>
    <t>Y=建設費年価×（労務費(15%)×撤去費(40%)＋スクラップ費(4%)）</t>
    <rPh sb="2" eb="5">
      <t>ケンセツヒ</t>
    </rPh>
    <rPh sb="5" eb="6">
      <t>ネン</t>
    </rPh>
    <rPh sb="6" eb="7">
      <t>カ</t>
    </rPh>
    <rPh sb="9" eb="12">
      <t>ロウムヒ</t>
    </rPh>
    <rPh sb="18" eb="20">
      <t>テッキョ</t>
    </rPh>
    <rPh sb="20" eb="21">
      <t>ヒ</t>
    </rPh>
    <rPh sb="32" eb="33">
      <t>ヒ</t>
    </rPh>
    <phoneticPr fontId="2"/>
  </si>
  <si>
    <t>⑬撤去費は労務費の40％、労務費は建設費の15％とする。またスクラップ費は建設費の4％とする。</t>
    <rPh sb="1" eb="3">
      <t>テッキョ</t>
    </rPh>
    <rPh sb="3" eb="4">
      <t>ヒ</t>
    </rPh>
    <rPh sb="5" eb="8">
      <t>ロウムヒ</t>
    </rPh>
    <rPh sb="13" eb="16">
      <t>ロウムヒ</t>
    </rPh>
    <rPh sb="17" eb="20">
      <t>ケンセツヒ</t>
    </rPh>
    <rPh sb="35" eb="36">
      <t>ヒ</t>
    </rPh>
    <rPh sb="37" eb="40">
      <t>ケンセツヒ</t>
    </rPh>
    <phoneticPr fontId="2"/>
  </si>
  <si>
    <t>a：⑦＋⑫＋⑬</t>
    <phoneticPr fontId="2"/>
  </si>
  <si>
    <t>機械設備費年価</t>
    <rPh sb="0" eb="2">
      <t>キカイ</t>
    </rPh>
    <rPh sb="2" eb="4">
      <t>セツビ</t>
    </rPh>
    <rPh sb="4" eb="5">
      <t>ヒ</t>
    </rPh>
    <rPh sb="5" eb="6">
      <t>ネン</t>
    </rPh>
    <rPh sb="6" eb="7">
      <t>カ</t>
    </rPh>
    <phoneticPr fontId="2"/>
  </si>
  <si>
    <t>Y=1.06×XD＋14.11</t>
    <phoneticPr fontId="2"/>
  </si>
  <si>
    <t>⑭、XD：汚泥中固形物量(t-DS/日)</t>
    <phoneticPr fontId="2"/>
  </si>
  <si>
    <t>Y=4.43×XD＋161.4</t>
    <phoneticPr fontId="2"/>
  </si>
  <si>
    <t>⑮、XD：汚泥中固形物量(t-DS/日)</t>
    <phoneticPr fontId="2"/>
  </si>
  <si>
    <t>電気設備費年価</t>
    <rPh sb="0" eb="2">
      <t>デンキ</t>
    </rPh>
    <rPh sb="2" eb="4">
      <t>セツビ</t>
    </rPh>
    <rPh sb="4" eb="5">
      <t>ヒ</t>
    </rPh>
    <rPh sb="5" eb="6">
      <t>ネン</t>
    </rPh>
    <rPh sb="6" eb="7">
      <t>カ</t>
    </rPh>
    <phoneticPr fontId="2"/>
  </si>
  <si>
    <t>Y=1.19×XD＋19.3</t>
    <phoneticPr fontId="2"/>
  </si>
  <si>
    <t>⑯、XD：汚泥中固形物量(t-DS/日)</t>
    <phoneticPr fontId="2"/>
  </si>
  <si>
    <t>Y=0.86×XD＋1.06</t>
    <phoneticPr fontId="2"/>
  </si>
  <si>
    <t>⑰、XD：汚泥中固形物量(t-DS/日)</t>
    <phoneticPr fontId="2"/>
  </si>
  <si>
    <t>Y=0.133×XD＋1.59</t>
    <phoneticPr fontId="2"/>
  </si>
  <si>
    <t>⑱、XD：汚泥中固形物量(t-DS/日)</t>
    <phoneticPr fontId="2"/>
  </si>
  <si>
    <t>土木建築施設費年価</t>
    <rPh sb="7" eb="8">
      <t>ネン</t>
    </rPh>
    <rPh sb="8" eb="9">
      <t>カ</t>
    </rPh>
    <phoneticPr fontId="2"/>
  </si>
  <si>
    <t>Y=0.071×XD＋5.19</t>
    <phoneticPr fontId="2"/>
  </si>
  <si>
    <t>⑲、XD：汚泥中固形物量(t-DS/日)</t>
    <phoneticPr fontId="2"/>
  </si>
  <si>
    <t>⑳：⑭＋⑮＋⑯＋⑰＋⑱＋⑲</t>
    <phoneticPr fontId="2"/>
  </si>
  <si>
    <t>維持管理費(消費電力)</t>
    <rPh sb="0" eb="2">
      <t>イジ</t>
    </rPh>
    <rPh sb="2" eb="5">
      <t>カンリヒ</t>
    </rPh>
    <rPh sb="6" eb="8">
      <t>ショウヒ</t>
    </rPh>
    <rPh sb="8" eb="10">
      <t>デンリョク</t>
    </rPh>
    <phoneticPr fontId="2"/>
  </si>
  <si>
    <t>MWh/年</t>
    <rPh sb="4" eb="5">
      <t>ネン</t>
    </rPh>
    <phoneticPr fontId="2"/>
  </si>
  <si>
    <t>Y= 20.39×XD－18.17</t>
    <phoneticPr fontId="2"/>
  </si>
  <si>
    <t>XD：汚泥中固形物量(t-DS/日)</t>
    <phoneticPr fontId="2"/>
  </si>
  <si>
    <r>
      <t>Y＝消費電力(MWh/年)×単価（円/kW)×10</t>
    </r>
    <r>
      <rPr>
        <vertAlign val="superscript"/>
        <sz val="11"/>
        <color theme="1"/>
        <rFont val="游ゴシック"/>
        <family val="3"/>
        <charset val="128"/>
        <scheme val="minor"/>
      </rPr>
      <t>-3</t>
    </r>
    <rPh sb="2" eb="4">
      <t>ショウヒ</t>
    </rPh>
    <rPh sb="4" eb="6">
      <t>デンリョク</t>
    </rPh>
    <rPh sb="11" eb="12">
      <t>ネン</t>
    </rPh>
    <rPh sb="14" eb="16">
      <t>タンカ</t>
    </rPh>
    <rPh sb="17" eb="18">
      <t>エン</t>
    </rPh>
    <phoneticPr fontId="2"/>
  </si>
  <si>
    <t>㉑</t>
    <phoneticPr fontId="2"/>
  </si>
  <si>
    <t>維持管理費(薬品費)</t>
    <phoneticPr fontId="2"/>
  </si>
  <si>
    <t>高分子(t/年)</t>
    <rPh sb="0" eb="3">
      <t>コウブンシ</t>
    </rPh>
    <phoneticPr fontId="2"/>
  </si>
  <si>
    <t>Y= 2.07×XD</t>
    <phoneticPr fontId="2"/>
  </si>
  <si>
    <t>無機(t/年)</t>
    <rPh sb="0" eb="2">
      <t>ムキ</t>
    </rPh>
    <phoneticPr fontId="2"/>
  </si>
  <si>
    <t>Y=29.57×XD</t>
    <phoneticPr fontId="2"/>
  </si>
  <si>
    <t>XD：汚泥中固形物量(t-DS/日)</t>
  </si>
  <si>
    <t>高分子
(百万円/年)</t>
    <rPh sb="0" eb="3">
      <t>コウブンシ</t>
    </rPh>
    <phoneticPr fontId="2"/>
  </si>
  <si>
    <r>
      <t>Y＝高分子(t/年)×単価（円/kg)×10</t>
    </r>
    <r>
      <rPr>
        <vertAlign val="superscript"/>
        <sz val="11"/>
        <color theme="1"/>
        <rFont val="游ゴシック"/>
        <family val="3"/>
        <charset val="128"/>
        <scheme val="minor"/>
      </rPr>
      <t>-3</t>
    </r>
    <rPh sb="2" eb="5">
      <t>コウブンシ</t>
    </rPh>
    <rPh sb="8" eb="9">
      <t>ネン</t>
    </rPh>
    <rPh sb="11" eb="13">
      <t>タンカ</t>
    </rPh>
    <rPh sb="14" eb="15">
      <t>エン</t>
    </rPh>
    <phoneticPr fontId="2"/>
  </si>
  <si>
    <t>㉒</t>
    <phoneticPr fontId="2"/>
  </si>
  <si>
    <t>無機
(百万円/年)</t>
    <rPh sb="0" eb="2">
      <t>ムキ</t>
    </rPh>
    <phoneticPr fontId="2"/>
  </si>
  <si>
    <r>
      <t>Y＝無機(t/年)×単価（円/kg)×10</t>
    </r>
    <r>
      <rPr>
        <vertAlign val="superscript"/>
        <sz val="11"/>
        <color theme="1"/>
        <rFont val="游ゴシック"/>
        <family val="3"/>
        <charset val="128"/>
        <scheme val="minor"/>
      </rPr>
      <t>-3</t>
    </r>
    <rPh sb="2" eb="4">
      <t>ムキ</t>
    </rPh>
    <rPh sb="7" eb="8">
      <t>ネン</t>
    </rPh>
    <rPh sb="10" eb="12">
      <t>タンカ</t>
    </rPh>
    <rPh sb="13" eb="14">
      <t>エン</t>
    </rPh>
    <phoneticPr fontId="2"/>
  </si>
  <si>
    <t>㉓</t>
    <phoneticPr fontId="2"/>
  </si>
  <si>
    <t>㉔：㉒＋㉓</t>
    <phoneticPr fontId="2"/>
  </si>
  <si>
    <t>焼却・発電設備</t>
    <rPh sb="0" eb="2">
      <t>ショウキャク</t>
    </rPh>
    <rPh sb="3" eb="5">
      <t>ハツデン</t>
    </rPh>
    <rPh sb="5" eb="7">
      <t>セツビ</t>
    </rPh>
    <phoneticPr fontId="2"/>
  </si>
  <si>
    <t>Y=39.39×XD+222.84</t>
    <phoneticPr fontId="2"/>
  </si>
  <si>
    <t>XD：汚泥中固形物量(t-DS/日)
発電設備消費電力を含む。</t>
    <rPh sb="19" eb="21">
      <t>ハツデン</t>
    </rPh>
    <rPh sb="21" eb="23">
      <t>セツビ</t>
    </rPh>
    <rPh sb="23" eb="25">
      <t>ショウヒ</t>
    </rPh>
    <rPh sb="25" eb="27">
      <t>デンリョク</t>
    </rPh>
    <rPh sb="28" eb="29">
      <t>フク</t>
    </rPh>
    <phoneticPr fontId="2"/>
  </si>
  <si>
    <r>
      <t>Y＝消費電力量(MWh/年)×単価（円/kW)×10</t>
    </r>
    <r>
      <rPr>
        <vertAlign val="superscript"/>
        <sz val="11"/>
        <color theme="1"/>
        <rFont val="游ゴシック"/>
        <family val="3"/>
        <charset val="128"/>
        <scheme val="minor"/>
      </rPr>
      <t>-3</t>
    </r>
    <rPh sb="2" eb="4">
      <t>ショウヒ</t>
    </rPh>
    <rPh sb="4" eb="6">
      <t>デンリョク</t>
    </rPh>
    <rPh sb="6" eb="7">
      <t>リョウ</t>
    </rPh>
    <rPh sb="12" eb="13">
      <t>ネン</t>
    </rPh>
    <rPh sb="15" eb="17">
      <t>タンカ</t>
    </rPh>
    <rPh sb="18" eb="19">
      <t>エン</t>
    </rPh>
    <phoneticPr fontId="2"/>
  </si>
  <si>
    <t>㉕</t>
    <phoneticPr fontId="2"/>
  </si>
  <si>
    <t>維持管理費(発電電力)</t>
    <rPh sb="0" eb="2">
      <t>イジ</t>
    </rPh>
    <rPh sb="2" eb="5">
      <t>カンリヒ</t>
    </rPh>
    <rPh sb="6" eb="8">
      <t>ハツデン</t>
    </rPh>
    <rPh sb="8" eb="10">
      <t>デンリョク</t>
    </rPh>
    <phoneticPr fontId="2"/>
  </si>
  <si>
    <t>MWh/年</t>
    <phoneticPr fontId="2"/>
  </si>
  <si>
    <t>Y=112.07×XD-217.98</t>
    <phoneticPr fontId="2"/>
  </si>
  <si>
    <r>
      <t>Y=発電電力量(MWh/年)×単価（円/kW)×10</t>
    </r>
    <r>
      <rPr>
        <vertAlign val="superscript"/>
        <sz val="11"/>
        <color theme="1"/>
        <rFont val="游ゴシック"/>
        <family val="3"/>
        <charset val="128"/>
        <scheme val="minor"/>
      </rPr>
      <t>-3</t>
    </r>
    <rPh sb="2" eb="4">
      <t>ハツデン</t>
    </rPh>
    <rPh sb="4" eb="6">
      <t>デンリョク</t>
    </rPh>
    <rPh sb="6" eb="7">
      <t>リョウ</t>
    </rPh>
    <rPh sb="12" eb="13">
      <t>ネン</t>
    </rPh>
    <rPh sb="15" eb="17">
      <t>タンカ</t>
    </rPh>
    <rPh sb="18" eb="19">
      <t>エン</t>
    </rPh>
    <phoneticPr fontId="2"/>
  </si>
  <si>
    <t>㉖</t>
    <phoneticPr fontId="2"/>
  </si>
  <si>
    <t>維持管理費(補助燃料費)</t>
    <rPh sb="6" eb="8">
      <t>ホジョ</t>
    </rPh>
    <rPh sb="8" eb="10">
      <t>ネンリョウ</t>
    </rPh>
    <rPh sb="10" eb="11">
      <t>ヒ</t>
    </rPh>
    <phoneticPr fontId="2"/>
  </si>
  <si>
    <t>kL/年</t>
    <rPh sb="3" eb="4">
      <t>ネン</t>
    </rPh>
    <phoneticPr fontId="2"/>
  </si>
  <si>
    <t>Y=0.098×XD</t>
    <phoneticPr fontId="2"/>
  </si>
  <si>
    <t>焼却炉の立ち上げ時のみ使用</t>
    <rPh sb="0" eb="2">
      <t>ショウキャク</t>
    </rPh>
    <rPh sb="2" eb="3">
      <t>ロ</t>
    </rPh>
    <rPh sb="4" eb="5">
      <t>タ</t>
    </rPh>
    <rPh sb="6" eb="7">
      <t>ア</t>
    </rPh>
    <rPh sb="8" eb="9">
      <t>ジ</t>
    </rPh>
    <rPh sb="11" eb="13">
      <t>シヨウ</t>
    </rPh>
    <phoneticPr fontId="2"/>
  </si>
  <si>
    <t>百万円/年</t>
    <phoneticPr fontId="2"/>
  </si>
  <si>
    <r>
      <t>Y=補助燃料使用量（kL/年)×単価（円/L)×10</t>
    </r>
    <r>
      <rPr>
        <vertAlign val="superscript"/>
        <sz val="11"/>
        <color theme="1"/>
        <rFont val="游ゴシック"/>
        <family val="3"/>
        <charset val="128"/>
        <scheme val="minor"/>
      </rPr>
      <t>-3</t>
    </r>
    <rPh sb="13" eb="14">
      <t>ネン</t>
    </rPh>
    <rPh sb="16" eb="18">
      <t>タンカ</t>
    </rPh>
    <rPh sb="19" eb="20">
      <t>エン</t>
    </rPh>
    <phoneticPr fontId="2"/>
  </si>
  <si>
    <t>㉗</t>
    <phoneticPr fontId="2"/>
  </si>
  <si>
    <t>維持管理費(薬品費)</t>
    <rPh sb="0" eb="2">
      <t>イジ</t>
    </rPh>
    <rPh sb="2" eb="5">
      <t>カンリヒ</t>
    </rPh>
    <rPh sb="6" eb="8">
      <t>ヤクヒン</t>
    </rPh>
    <rPh sb="8" eb="9">
      <t>ヒ</t>
    </rPh>
    <phoneticPr fontId="2"/>
  </si>
  <si>
    <t>苛性ソーダ
(t/年)</t>
    <rPh sb="0" eb="2">
      <t>カセイ</t>
    </rPh>
    <rPh sb="9" eb="10">
      <t>ネン</t>
    </rPh>
    <phoneticPr fontId="2"/>
  </si>
  <si>
    <t>Y=42.98×XD</t>
    <phoneticPr fontId="2"/>
  </si>
  <si>
    <r>
      <t>Y＝薬品使用量（t/年)×単価（円/kg)×10</t>
    </r>
    <r>
      <rPr>
        <vertAlign val="superscript"/>
        <sz val="11"/>
        <color theme="1"/>
        <rFont val="游ゴシック"/>
        <family val="3"/>
        <charset val="128"/>
        <scheme val="minor"/>
      </rPr>
      <t>-3</t>
    </r>
    <rPh sb="2" eb="4">
      <t>ヤクヒン</t>
    </rPh>
    <rPh sb="4" eb="7">
      <t>シヨウリョウ</t>
    </rPh>
    <rPh sb="10" eb="11">
      <t>ネン</t>
    </rPh>
    <rPh sb="13" eb="15">
      <t>タンカ</t>
    </rPh>
    <rPh sb="16" eb="17">
      <t>エン</t>
    </rPh>
    <phoneticPr fontId="2"/>
  </si>
  <si>
    <t>㉘</t>
    <phoneticPr fontId="2"/>
  </si>
  <si>
    <t>維持管理費(灰処分費)</t>
    <rPh sb="0" eb="2">
      <t>イジ</t>
    </rPh>
    <rPh sb="2" eb="5">
      <t>カンリヒ</t>
    </rPh>
    <rPh sb="6" eb="7">
      <t>ハイ</t>
    </rPh>
    <rPh sb="7" eb="9">
      <t>ショブン</t>
    </rPh>
    <rPh sb="9" eb="10">
      <t>ヒ</t>
    </rPh>
    <phoneticPr fontId="2"/>
  </si>
  <si>
    <t>灰発生量
(t/年)</t>
    <rPh sb="0" eb="1">
      <t>ハイ</t>
    </rPh>
    <rPh sb="1" eb="3">
      <t>ハッセイ</t>
    </rPh>
    <rPh sb="3" eb="4">
      <t>リョウ</t>
    </rPh>
    <rPh sb="8" eb="9">
      <t>ネン</t>
    </rPh>
    <phoneticPr fontId="2"/>
  </si>
  <si>
    <t>Y=75.56×XD</t>
    <phoneticPr fontId="2"/>
  </si>
  <si>
    <r>
      <t>Y=灰発生量(t/年)×単価(円/t)×10</t>
    </r>
    <r>
      <rPr>
        <vertAlign val="superscript"/>
        <sz val="11"/>
        <color theme="1"/>
        <rFont val="游ゴシック"/>
        <family val="3"/>
        <charset val="128"/>
        <scheme val="minor"/>
      </rPr>
      <t>-6</t>
    </r>
    <rPh sb="2" eb="3">
      <t>ハイ</t>
    </rPh>
    <rPh sb="3" eb="5">
      <t>ハッセイ</t>
    </rPh>
    <rPh sb="5" eb="6">
      <t>リョウ</t>
    </rPh>
    <rPh sb="9" eb="10">
      <t>ネン</t>
    </rPh>
    <rPh sb="12" eb="14">
      <t>タンカ</t>
    </rPh>
    <rPh sb="15" eb="16">
      <t>エン</t>
    </rPh>
    <phoneticPr fontId="2"/>
  </si>
  <si>
    <t>㉙</t>
    <phoneticPr fontId="2"/>
  </si>
  <si>
    <t>維持管理費(点検・補修費)</t>
    <rPh sb="0" eb="2">
      <t>イジ</t>
    </rPh>
    <rPh sb="2" eb="5">
      <t>カンリヒ</t>
    </rPh>
    <rPh sb="6" eb="8">
      <t>テンケン</t>
    </rPh>
    <rPh sb="9" eb="11">
      <t>ホシュウ</t>
    </rPh>
    <rPh sb="11" eb="12">
      <t>ヒ</t>
    </rPh>
    <phoneticPr fontId="2"/>
  </si>
  <si>
    <t>固定値</t>
    <rPh sb="0" eb="3">
      <t>コテイチ</t>
    </rPh>
    <phoneticPr fontId="2"/>
  </si>
  <si>
    <t>㉚</t>
    <phoneticPr fontId="2"/>
  </si>
  <si>
    <t>維持管理費(人件費)</t>
    <rPh sb="0" eb="2">
      <t>イジ</t>
    </rPh>
    <rPh sb="2" eb="5">
      <t>カンリヒ</t>
    </rPh>
    <rPh sb="6" eb="9">
      <t>ジンケンヒ</t>
    </rPh>
    <rPh sb="8" eb="9">
      <t>ヒ</t>
    </rPh>
    <phoneticPr fontId="2"/>
  </si>
  <si>
    <t>㉛</t>
    <phoneticPr fontId="2"/>
  </si>
  <si>
    <t>維持管理費合計</t>
    <rPh sb="0" eb="2">
      <t>イジ</t>
    </rPh>
    <rPh sb="2" eb="5">
      <t>カンリヒ</t>
    </rPh>
    <rPh sb="5" eb="7">
      <t>ゴウケイ</t>
    </rPh>
    <phoneticPr fontId="2"/>
  </si>
  <si>
    <t>㉜：㉑＋㉔＋㉕－㉖＋㉗＋㉘＋㉙＋㉚</t>
    <phoneticPr fontId="2"/>
  </si>
  <si>
    <t>㉝撤去費は労務費の40％、労務費は建設費の15％とする。またスクラップ費は建設費の4％とする。</t>
    <rPh sb="1" eb="3">
      <t>テッキョ</t>
    </rPh>
    <rPh sb="3" eb="4">
      <t>ヒ</t>
    </rPh>
    <rPh sb="5" eb="8">
      <t>ロウムヒ</t>
    </rPh>
    <rPh sb="13" eb="16">
      <t>ロウムヒ</t>
    </rPh>
    <rPh sb="17" eb="20">
      <t>ケンセツヒ</t>
    </rPh>
    <rPh sb="35" eb="36">
      <t>ヒ</t>
    </rPh>
    <rPh sb="37" eb="40">
      <t>ケンセツヒ</t>
    </rPh>
    <phoneticPr fontId="2"/>
  </si>
  <si>
    <t>b：⑳＋㉜＋㉝</t>
    <phoneticPr fontId="2"/>
  </si>
  <si>
    <t>(1-b/a)×100</t>
    <phoneticPr fontId="2"/>
  </si>
  <si>
    <t>費用削減効果</t>
    <rPh sb="0" eb="2">
      <t>ヒヨウ</t>
    </rPh>
    <rPh sb="2" eb="4">
      <t>サクゲン</t>
    </rPh>
    <rPh sb="4" eb="6">
      <t>コウカ</t>
    </rPh>
    <phoneticPr fontId="2"/>
  </si>
  <si>
    <t>建設費</t>
    <phoneticPr fontId="2"/>
  </si>
  <si>
    <t>a：⑥</t>
    <phoneticPr fontId="2"/>
  </si>
  <si>
    <t>Y=Σ[工種別建設費年価／i(1+i)n×{(1+i)n-1}]</t>
    <phoneticPr fontId="2"/>
  </si>
  <si>
    <t>b：⑭、⑮、⑯、⑰、⑱、⑲より算出</t>
    <rPh sb="15" eb="17">
      <t>サンシュツ</t>
    </rPh>
    <phoneticPr fontId="2"/>
  </si>
  <si>
    <t>革新的技術による建設費削減効果</t>
    <rPh sb="0" eb="3">
      <t>カクシンテキ</t>
    </rPh>
    <rPh sb="3" eb="5">
      <t>ギジュツ</t>
    </rPh>
    <rPh sb="8" eb="11">
      <t>ケンセツヒ</t>
    </rPh>
    <rPh sb="11" eb="13">
      <t>サクゲン</t>
    </rPh>
    <rPh sb="13" eb="15">
      <t>コウカ</t>
    </rPh>
    <phoneticPr fontId="2"/>
  </si>
  <si>
    <t>維持管理費</t>
    <rPh sb="0" eb="2">
      <t>イジ</t>
    </rPh>
    <rPh sb="2" eb="4">
      <t>カンリ</t>
    </rPh>
    <phoneticPr fontId="2"/>
  </si>
  <si>
    <t>㉜</t>
    <phoneticPr fontId="2"/>
  </si>
  <si>
    <t>革新的技術による維持管理費削減効果</t>
    <rPh sb="0" eb="3">
      <t>カクシンテキ</t>
    </rPh>
    <rPh sb="3" eb="5">
      <t>ギジュツ</t>
    </rPh>
    <rPh sb="8" eb="10">
      <t>イジ</t>
    </rPh>
    <rPh sb="10" eb="13">
      <t>カンリヒ</t>
    </rPh>
    <rPh sb="13" eb="15">
      <t>サクゲン</t>
    </rPh>
    <rPh sb="15" eb="17">
      <t>コウカ</t>
    </rPh>
    <phoneticPr fontId="2"/>
  </si>
  <si>
    <t>(1-㉜/⑫)×100</t>
    <phoneticPr fontId="2"/>
  </si>
  <si>
    <t>エネルギー消費量原単位</t>
    <rPh sb="5" eb="8">
      <t>ショウヒリョウ</t>
    </rPh>
    <rPh sb="8" eb="11">
      <t>ゲンタンイ</t>
    </rPh>
    <phoneticPr fontId="2"/>
  </si>
  <si>
    <t>消費電力量</t>
    <rPh sb="0" eb="2">
      <t>ショウヒ</t>
    </rPh>
    <rPh sb="2" eb="4">
      <t>デンリョク</t>
    </rPh>
    <rPh sb="4" eb="5">
      <t>リョウ</t>
    </rPh>
    <phoneticPr fontId="2"/>
  </si>
  <si>
    <r>
      <t>Y=22(kWh/wet-t)×Xw×稼働日数(日/年)×
負荷率(％)×10</t>
    </r>
    <r>
      <rPr>
        <vertAlign val="superscript"/>
        <sz val="11"/>
        <rFont val="游ゴシック"/>
        <family val="3"/>
        <charset val="128"/>
        <scheme val="minor"/>
      </rPr>
      <t>-3</t>
    </r>
    <rPh sb="19" eb="21">
      <t>カドウ</t>
    </rPh>
    <rPh sb="21" eb="23">
      <t>ニッスウ</t>
    </rPh>
    <rPh sb="24" eb="25">
      <t>ヒ</t>
    </rPh>
    <rPh sb="26" eb="27">
      <t>ネン</t>
    </rPh>
    <phoneticPr fontId="2"/>
  </si>
  <si>
    <t>①、Xw：脱水汚泥焼却量(wet-t/日)</t>
    <phoneticPr fontId="2"/>
  </si>
  <si>
    <t>電気</t>
    <rPh sb="0" eb="2">
      <t>デンキ</t>
    </rPh>
    <phoneticPr fontId="2"/>
  </si>
  <si>
    <t>(MJ/kWh)</t>
    <phoneticPr fontId="2"/>
  </si>
  <si>
    <r>
      <t>Y=(1.12Xw＋266)×稼働日数(日/年)×24(h/日)×
負荷率(％)×10</t>
    </r>
    <r>
      <rPr>
        <vertAlign val="superscript"/>
        <sz val="11"/>
        <rFont val="游ゴシック"/>
        <family val="3"/>
        <charset val="128"/>
        <scheme val="minor"/>
      </rPr>
      <t>-3</t>
    </r>
    <rPh sb="15" eb="17">
      <t>カドウ</t>
    </rPh>
    <rPh sb="17" eb="19">
      <t>ニッスウ</t>
    </rPh>
    <rPh sb="20" eb="21">
      <t>ヒ</t>
    </rPh>
    <rPh sb="22" eb="23">
      <t>ネン</t>
    </rPh>
    <rPh sb="30" eb="31">
      <t>ヒ</t>
    </rPh>
    <phoneticPr fontId="2"/>
  </si>
  <si>
    <t>②、Xw：脱水汚泥焼却量(wet-t/日)</t>
    <phoneticPr fontId="2"/>
  </si>
  <si>
    <t>補助燃料(A重油)</t>
    <rPh sb="0" eb="2">
      <t>ホジョ</t>
    </rPh>
    <rPh sb="2" eb="4">
      <t>ネンリョウ</t>
    </rPh>
    <rPh sb="6" eb="8">
      <t>ジュウユ</t>
    </rPh>
    <phoneticPr fontId="2"/>
  </si>
  <si>
    <t>消費電力量合計</t>
    <rPh sb="0" eb="2">
      <t>ショウヒ</t>
    </rPh>
    <rPh sb="2" eb="4">
      <t>デンリョク</t>
    </rPh>
    <rPh sb="4" eb="5">
      <t>リョウ</t>
    </rPh>
    <rPh sb="5" eb="7">
      <t>ゴウケイ</t>
    </rPh>
    <phoneticPr fontId="2"/>
  </si>
  <si>
    <t>③：①＋②</t>
    <phoneticPr fontId="2"/>
  </si>
  <si>
    <t>GJ/年</t>
    <rPh sb="3" eb="4">
      <t>ネン</t>
    </rPh>
    <phoneticPr fontId="2"/>
  </si>
  <si>
    <t>Y=消費電力合計(MWh/年)×エネルギー消費原単位(MJ/kWh)</t>
    <rPh sb="2" eb="4">
      <t>ショウヒ</t>
    </rPh>
    <rPh sb="4" eb="6">
      <t>デンリョク</t>
    </rPh>
    <rPh sb="6" eb="8">
      <t>ゴウケイ</t>
    </rPh>
    <rPh sb="13" eb="14">
      <t>ネン</t>
    </rPh>
    <rPh sb="21" eb="23">
      <t>ショウヒ</t>
    </rPh>
    <rPh sb="23" eb="26">
      <t>ゲンタンイ</t>
    </rPh>
    <phoneticPr fontId="2"/>
  </si>
  <si>
    <t>補助燃料</t>
    <rPh sb="0" eb="2">
      <t>ホジョ</t>
    </rPh>
    <rPh sb="2" eb="4">
      <t>ネンリョウ</t>
    </rPh>
    <phoneticPr fontId="2"/>
  </si>
  <si>
    <t>Y=消費電力量(MWh/年)×エネルギー消費原単位(MJ/kWh)
×20,467(GJ/年)/26,778(GJ/年)</t>
    <rPh sb="2" eb="4">
      <t>ショウヒ</t>
    </rPh>
    <rPh sb="4" eb="6">
      <t>デンリョク</t>
    </rPh>
    <rPh sb="6" eb="7">
      <t>リョウ</t>
    </rPh>
    <rPh sb="12" eb="13">
      <t>ネン</t>
    </rPh>
    <phoneticPr fontId="2"/>
  </si>
  <si>
    <t>⑤：メーカーヒアリング値を用いて消費電力量との比率て算出。</t>
    <rPh sb="11" eb="12">
      <t>アタイ</t>
    </rPh>
    <rPh sb="13" eb="14">
      <t>モチ</t>
    </rPh>
    <rPh sb="23" eb="25">
      <t>ヒリツ</t>
    </rPh>
    <rPh sb="26" eb="28">
      <t>サンシュツ</t>
    </rPh>
    <phoneticPr fontId="2"/>
  </si>
  <si>
    <t>エネルギー消費量合計</t>
    <rPh sb="5" eb="8">
      <t>ショウヒリョウ</t>
    </rPh>
    <rPh sb="8" eb="10">
      <t>ゴウケイ</t>
    </rPh>
    <phoneticPr fontId="2"/>
  </si>
  <si>
    <t>⑥：④＋⑤</t>
    <phoneticPr fontId="2"/>
  </si>
  <si>
    <t>⑦、XD：汚泥中固形物量(t-DS/日)</t>
    <phoneticPr fontId="2"/>
  </si>
  <si>
    <t>⑧、XD：汚泥中固形物量(t-DS/日)
発電設備消費電力を含む。</t>
    <rPh sb="21" eb="23">
      <t>ハツデン</t>
    </rPh>
    <rPh sb="23" eb="25">
      <t>セツビ</t>
    </rPh>
    <rPh sb="25" eb="27">
      <t>ショウヒ</t>
    </rPh>
    <rPh sb="27" eb="29">
      <t>デンリョク</t>
    </rPh>
    <rPh sb="30" eb="31">
      <t>フク</t>
    </rPh>
    <phoneticPr fontId="2"/>
  </si>
  <si>
    <t>⑨：⑦＋⑧</t>
    <phoneticPr fontId="2"/>
  </si>
  <si>
    <t>補助燃料（A重油）</t>
    <rPh sb="0" eb="2">
      <t>ホジョ</t>
    </rPh>
    <rPh sb="2" eb="4">
      <t>ネンリョウ</t>
    </rPh>
    <rPh sb="6" eb="8">
      <t>ジュウユ</t>
    </rPh>
    <phoneticPr fontId="2"/>
  </si>
  <si>
    <t>⑪、XD：汚泥中固形物量(t-DS/日)</t>
    <phoneticPr fontId="2"/>
  </si>
  <si>
    <t>Y=補助燃料(kL/年)×エネルギー消費原単位(MJ/L)</t>
    <rPh sb="2" eb="4">
      <t>ホジョ</t>
    </rPh>
    <rPh sb="4" eb="6">
      <t>ネンリョウ</t>
    </rPh>
    <rPh sb="10" eb="11">
      <t>ネン</t>
    </rPh>
    <phoneticPr fontId="2"/>
  </si>
  <si>
    <t>⑬：⑩＋⑫</t>
    <phoneticPr fontId="2"/>
  </si>
  <si>
    <t>発電電力量（エネルギー創出量）</t>
    <rPh sb="0" eb="2">
      <t>ハツデン</t>
    </rPh>
    <rPh sb="2" eb="4">
      <t>デンリョク</t>
    </rPh>
    <rPh sb="4" eb="5">
      <t>リョウ</t>
    </rPh>
    <rPh sb="11" eb="13">
      <t>ソウシュツ</t>
    </rPh>
    <rPh sb="13" eb="14">
      <t>リョウ</t>
    </rPh>
    <phoneticPr fontId="2"/>
  </si>
  <si>
    <t>Y=発電電力(MWh/年)×エネルギー消費原単位(MJ/kWh)</t>
    <rPh sb="2" eb="4">
      <t>ハツデン</t>
    </rPh>
    <rPh sb="4" eb="6">
      <t>デンリョク</t>
    </rPh>
    <phoneticPr fontId="2"/>
  </si>
  <si>
    <t>⑮</t>
    <phoneticPr fontId="2"/>
  </si>
  <si>
    <t>正味のエネルギー消費量合計</t>
    <rPh sb="0" eb="2">
      <t>ショウミ</t>
    </rPh>
    <rPh sb="8" eb="11">
      <t>ショウヒリョウ</t>
    </rPh>
    <rPh sb="11" eb="13">
      <t>ゴウケイ</t>
    </rPh>
    <phoneticPr fontId="2"/>
  </si>
  <si>
    <t>⑯：⑬－⑮</t>
    <phoneticPr fontId="2"/>
  </si>
  <si>
    <t>－(マイナス)はエネルギー創出を示す。</t>
    <rPh sb="13" eb="15">
      <t>ソウシュツ</t>
    </rPh>
    <rPh sb="16" eb="17">
      <t>シメ</t>
    </rPh>
    <phoneticPr fontId="2"/>
  </si>
  <si>
    <t>(1-⑯/⑥)×100</t>
    <phoneticPr fontId="2"/>
  </si>
  <si>
    <t>←計算参照セル修正しました。</t>
    <rPh sb="1" eb="3">
      <t>ケイサン</t>
    </rPh>
    <rPh sb="3" eb="5">
      <t>サンショウ</t>
    </rPh>
    <rPh sb="7" eb="9">
      <t>シュウセイ</t>
    </rPh>
    <phoneticPr fontId="2"/>
  </si>
  <si>
    <t>温室効果ガス排出量原単位</t>
    <rPh sb="0" eb="2">
      <t>オンシツ</t>
    </rPh>
    <rPh sb="2" eb="4">
      <t>コウカ</t>
    </rPh>
    <rPh sb="6" eb="8">
      <t>ハイシュツ</t>
    </rPh>
    <rPh sb="8" eb="9">
      <t>リョウ</t>
    </rPh>
    <rPh sb="9" eb="12">
      <t>ゲンタンイ</t>
    </rPh>
    <phoneticPr fontId="2"/>
  </si>
  <si>
    <t>①</t>
    <phoneticPr fontId="2"/>
  </si>
  <si>
    <t>高分子凝集剤由来GHG排出量</t>
    <rPh sb="0" eb="3">
      <t>コウブンシ</t>
    </rPh>
    <rPh sb="3" eb="5">
      <t>ギョウシュウ</t>
    </rPh>
    <rPh sb="5" eb="6">
      <t>ザイ</t>
    </rPh>
    <rPh sb="6" eb="8">
      <t>ユライ</t>
    </rPh>
    <rPh sb="11" eb="14">
      <t>ハイシュツリョウ</t>
    </rPh>
    <phoneticPr fontId="2"/>
  </si>
  <si>
    <t>Y=0.005XD×稼働日数(日/年)×負荷率(％)</t>
    <rPh sb="10" eb="12">
      <t>カドウ</t>
    </rPh>
    <rPh sb="12" eb="14">
      <t>ニッスウ</t>
    </rPh>
    <rPh sb="15" eb="16">
      <t>ニチ</t>
    </rPh>
    <rPh sb="17" eb="18">
      <t>ネン</t>
    </rPh>
    <rPh sb="20" eb="22">
      <t>フカ</t>
    </rPh>
    <rPh sb="22" eb="23">
      <t>リツ</t>
    </rPh>
    <phoneticPr fontId="2"/>
  </si>
  <si>
    <t>②、XD：汚泥中固形物量(t-DS/日)</t>
    <phoneticPr fontId="2"/>
  </si>
  <si>
    <r>
      <t>(kg-CO</t>
    </r>
    <r>
      <rPr>
        <vertAlign val="subscript"/>
        <sz val="11"/>
        <color theme="1"/>
        <rFont val="游ゴシック"/>
        <family val="3"/>
        <charset val="128"/>
        <scheme val="minor"/>
      </rPr>
      <t>2</t>
    </r>
    <r>
      <rPr>
        <sz val="11"/>
        <color theme="1"/>
        <rFont val="游ゴシック"/>
        <family val="2"/>
        <charset val="128"/>
        <scheme val="minor"/>
      </rPr>
      <t>/kWh)</t>
    </r>
    <phoneticPr fontId="2"/>
  </si>
  <si>
    <t>×原単位(高分子凝集剤、kg-CO2/kg)</t>
    <phoneticPr fontId="2"/>
  </si>
  <si>
    <t>薬注率0.5%-TSにて算出。</t>
    <rPh sb="0" eb="1">
      <t>ヤク</t>
    </rPh>
    <rPh sb="1" eb="2">
      <t>チュウ</t>
    </rPh>
    <rPh sb="2" eb="3">
      <t>リツ</t>
    </rPh>
    <rPh sb="12" eb="14">
      <t>サンシュツ</t>
    </rPh>
    <phoneticPr fontId="2"/>
  </si>
  <si>
    <t>焼却設備</t>
    <phoneticPr fontId="2"/>
  </si>
  <si>
    <t>③</t>
    <phoneticPr fontId="2"/>
  </si>
  <si>
    <r>
      <t>(kg-CO</t>
    </r>
    <r>
      <rPr>
        <vertAlign val="subscript"/>
        <sz val="11"/>
        <color theme="1"/>
        <rFont val="游ゴシック"/>
        <family val="3"/>
        <charset val="128"/>
        <scheme val="minor"/>
      </rPr>
      <t>2</t>
    </r>
    <r>
      <rPr>
        <sz val="11"/>
        <color theme="1"/>
        <rFont val="游ゴシック"/>
        <family val="2"/>
        <charset val="128"/>
        <scheme val="minor"/>
      </rPr>
      <t>/L)</t>
    </r>
    <phoneticPr fontId="2"/>
  </si>
  <si>
    <t>補助燃料由来GHG排出量</t>
    <rPh sb="0" eb="2">
      <t>ホジョ</t>
    </rPh>
    <rPh sb="2" eb="4">
      <t>ネンリョウ</t>
    </rPh>
    <rPh sb="4" eb="6">
      <t>ユライ</t>
    </rPh>
    <rPh sb="9" eb="12">
      <t>ハイシュツリョウ</t>
    </rPh>
    <phoneticPr fontId="2"/>
  </si>
  <si>
    <t>Y=補助燃料(GJ/年)/エネルギー消費量原単位(補助燃料、MJ/L)</t>
    <rPh sb="2" eb="4">
      <t>ホジョ</t>
    </rPh>
    <rPh sb="4" eb="6">
      <t>ネンリョウ</t>
    </rPh>
    <rPh sb="10" eb="11">
      <t>ネン</t>
    </rPh>
    <rPh sb="18" eb="21">
      <t>ショウヒリョウ</t>
    </rPh>
    <rPh sb="21" eb="24">
      <t>ゲンタンイ</t>
    </rPh>
    <rPh sb="25" eb="27">
      <t>ホジョ</t>
    </rPh>
    <rPh sb="27" eb="29">
      <t>ネンリョウ</t>
    </rPh>
    <phoneticPr fontId="2"/>
  </si>
  <si>
    <t>高分子凝集剤</t>
    <rPh sb="0" eb="3">
      <t>コウブンシ</t>
    </rPh>
    <rPh sb="3" eb="5">
      <t>ギョウシュウ</t>
    </rPh>
    <rPh sb="5" eb="6">
      <t>ザイ</t>
    </rPh>
    <phoneticPr fontId="2"/>
  </si>
  <si>
    <t>×原単位(補助燃料、kg-CO2/L)</t>
    <rPh sb="5" eb="7">
      <t>ホジョ</t>
    </rPh>
    <rPh sb="7" eb="9">
      <t>ネンリョウ</t>
    </rPh>
    <phoneticPr fontId="2"/>
  </si>
  <si>
    <r>
      <t>(kg-CO</t>
    </r>
    <r>
      <rPr>
        <vertAlign val="subscript"/>
        <sz val="11"/>
        <color theme="1"/>
        <rFont val="游ゴシック"/>
        <family val="3"/>
        <charset val="128"/>
        <scheme val="minor"/>
      </rPr>
      <t>2</t>
    </r>
    <r>
      <rPr>
        <sz val="11"/>
        <color theme="1"/>
        <rFont val="游ゴシック"/>
        <family val="2"/>
        <charset val="128"/>
        <scheme val="minor"/>
      </rPr>
      <t>/kg)</t>
    </r>
    <r>
      <rPr>
        <vertAlign val="superscript"/>
        <sz val="11"/>
        <color theme="1"/>
        <rFont val="游ゴシック"/>
        <family val="3"/>
        <charset val="128"/>
        <scheme val="minor"/>
      </rPr>
      <t>※1</t>
    </r>
    <phoneticPr fontId="2"/>
  </si>
  <si>
    <t>苛性ソーダ由来GHG排出量</t>
    <rPh sb="0" eb="2">
      <t>カセイ</t>
    </rPh>
    <rPh sb="5" eb="7">
      <t>ユライ</t>
    </rPh>
    <rPh sb="10" eb="13">
      <t>ハイシュツリョウ</t>
    </rPh>
    <phoneticPr fontId="2"/>
  </si>
  <si>
    <t>Y=814(24%苛性ソーダ使用量、t/年)/100(ベース脱水汚泥焼却量(wet-t/日))×Xw×原単位(苛性ソーダ、kg-CO2/kg)×0.24</t>
    <rPh sb="9" eb="11">
      <t>カセイ</t>
    </rPh>
    <rPh sb="14" eb="16">
      <t>シヨウ</t>
    </rPh>
    <rPh sb="16" eb="17">
      <t>リョウ</t>
    </rPh>
    <rPh sb="20" eb="21">
      <t>ネン</t>
    </rPh>
    <rPh sb="51" eb="54">
      <t>ゲンタンイ</t>
    </rPh>
    <phoneticPr fontId="2"/>
  </si>
  <si>
    <t>⑤、メーカーヒアリング値を基に</t>
    <rPh sb="11" eb="12">
      <t>アタイ</t>
    </rPh>
    <rPh sb="13" eb="14">
      <t>モト</t>
    </rPh>
    <phoneticPr fontId="2"/>
  </si>
  <si>
    <t>無機凝集剤</t>
    <rPh sb="0" eb="2">
      <t>ムキ</t>
    </rPh>
    <rPh sb="2" eb="4">
      <t>ギョウシュウ</t>
    </rPh>
    <rPh sb="4" eb="5">
      <t>ザイ</t>
    </rPh>
    <phoneticPr fontId="2"/>
  </si>
  <si>
    <t>焼却量比例にて算出。</t>
    <phoneticPr fontId="2"/>
  </si>
  <si>
    <r>
      <t>(kg-CO</t>
    </r>
    <r>
      <rPr>
        <vertAlign val="subscript"/>
        <sz val="11"/>
        <color theme="1"/>
        <rFont val="游ゴシック"/>
        <family val="3"/>
        <charset val="128"/>
        <scheme val="minor"/>
      </rPr>
      <t>2</t>
    </r>
    <r>
      <rPr>
        <sz val="11"/>
        <color theme="1"/>
        <rFont val="游ゴシック"/>
        <family val="2"/>
        <charset val="128"/>
        <scheme val="minor"/>
      </rPr>
      <t>/kg)</t>
    </r>
    <r>
      <rPr>
        <vertAlign val="superscript"/>
        <sz val="11"/>
        <color theme="1"/>
        <rFont val="游ゴシック"/>
        <family val="3"/>
        <charset val="128"/>
        <scheme val="minor"/>
      </rPr>
      <t>※2</t>
    </r>
    <phoneticPr fontId="2"/>
  </si>
  <si>
    <t>共用段階時合計</t>
    <rPh sb="0" eb="2">
      <t>キョウヨウ</t>
    </rPh>
    <rPh sb="2" eb="4">
      <t>ダンカイ</t>
    </rPh>
    <rPh sb="4" eb="5">
      <t>ジ</t>
    </rPh>
    <rPh sb="5" eb="7">
      <t>ゴウケイ</t>
    </rPh>
    <phoneticPr fontId="2"/>
  </si>
  <si>
    <t>⑥：①+②+③+④+⑤</t>
    <phoneticPr fontId="2"/>
  </si>
  <si>
    <t>苛性ソーダ</t>
    <rPh sb="0" eb="2">
      <t>カセイ</t>
    </rPh>
    <phoneticPr fontId="2"/>
  </si>
  <si>
    <r>
      <t>(kg-CO</t>
    </r>
    <r>
      <rPr>
        <vertAlign val="subscript"/>
        <sz val="11"/>
        <color theme="1"/>
        <rFont val="游ゴシック"/>
        <family val="3"/>
        <charset val="128"/>
        <scheme val="minor"/>
      </rPr>
      <t>2</t>
    </r>
    <r>
      <rPr>
        <sz val="11"/>
        <color theme="1"/>
        <rFont val="游ゴシック"/>
        <family val="2"/>
        <charset val="128"/>
        <scheme val="minor"/>
      </rPr>
      <t>/kg)</t>
    </r>
    <r>
      <rPr>
        <vertAlign val="superscript"/>
        <sz val="11"/>
        <color theme="1"/>
        <rFont val="游ゴシック"/>
        <family val="3"/>
        <charset val="128"/>
        <scheme val="minor"/>
      </rPr>
      <t>※3</t>
    </r>
    <phoneticPr fontId="2"/>
  </si>
  <si>
    <t>※1：粉体基準</t>
    <rPh sb="3" eb="5">
      <t>フンタイ</t>
    </rPh>
    <rPh sb="5" eb="7">
      <t>キジュン</t>
    </rPh>
    <phoneticPr fontId="2"/>
  </si>
  <si>
    <r>
      <t>N</t>
    </r>
    <r>
      <rPr>
        <vertAlign val="subscript"/>
        <sz val="11"/>
        <rFont val="游ゴシック"/>
        <family val="3"/>
        <charset val="128"/>
        <scheme val="minor"/>
      </rPr>
      <t>2</t>
    </r>
    <r>
      <rPr>
        <sz val="11"/>
        <rFont val="游ゴシック"/>
        <family val="3"/>
        <charset val="128"/>
        <scheme val="minor"/>
      </rPr>
      <t>O排出量　(t-N</t>
    </r>
    <r>
      <rPr>
        <vertAlign val="subscript"/>
        <sz val="11"/>
        <rFont val="游ゴシック"/>
        <family val="3"/>
        <charset val="128"/>
        <scheme val="minor"/>
      </rPr>
      <t>2</t>
    </r>
    <r>
      <rPr>
        <sz val="11"/>
        <rFont val="游ゴシック"/>
        <family val="3"/>
        <charset val="128"/>
        <scheme val="minor"/>
      </rPr>
      <t>O/年)</t>
    </r>
    <rPh sb="3" eb="6">
      <t>ハイシュツリョウ</t>
    </rPh>
    <rPh sb="14" eb="15">
      <t>ネン</t>
    </rPh>
    <phoneticPr fontId="2"/>
  </si>
  <si>
    <r>
      <t>Y=0.000645(t-N</t>
    </r>
    <r>
      <rPr>
        <vertAlign val="subscript"/>
        <sz val="11"/>
        <color theme="1"/>
        <rFont val="游ゴシック"/>
        <family val="3"/>
        <charset val="128"/>
        <scheme val="minor"/>
      </rPr>
      <t>2</t>
    </r>
    <r>
      <rPr>
        <sz val="11"/>
        <color theme="1"/>
        <rFont val="游ゴシック"/>
        <family val="2"/>
        <charset val="128"/>
        <scheme val="minor"/>
      </rPr>
      <t>O/wet-t)Xw×稼働日数(日/年)×負荷率(%)</t>
    </r>
    <rPh sb="26" eb="28">
      <t>カドウ</t>
    </rPh>
    <rPh sb="28" eb="30">
      <t>ニッスウ</t>
    </rPh>
    <rPh sb="31" eb="32">
      <t>ヒ</t>
    </rPh>
    <rPh sb="33" eb="34">
      <t>ネン</t>
    </rPh>
    <rPh sb="36" eb="38">
      <t>フカ</t>
    </rPh>
    <rPh sb="38" eb="39">
      <t>リツ</t>
    </rPh>
    <phoneticPr fontId="2"/>
  </si>
  <si>
    <t>Xw：脱水汚泥焼却量(wet-t/日)</t>
    <phoneticPr fontId="2"/>
  </si>
  <si>
    <t>※2：ポリ鉄、11%水溶液ベース</t>
    <rPh sb="5" eb="6">
      <t>テツ</t>
    </rPh>
    <rPh sb="10" eb="13">
      <t>スイヨウエキ</t>
    </rPh>
    <phoneticPr fontId="2"/>
  </si>
  <si>
    <t>※3：濃度100％</t>
    <rPh sb="3" eb="5">
      <t>ノウド</t>
    </rPh>
    <phoneticPr fontId="2"/>
  </si>
  <si>
    <r>
      <t>Y=N</t>
    </r>
    <r>
      <rPr>
        <vertAlign val="subscript"/>
        <sz val="11"/>
        <color theme="1"/>
        <rFont val="游ゴシック"/>
        <family val="3"/>
        <charset val="128"/>
        <scheme val="minor"/>
      </rPr>
      <t>2</t>
    </r>
    <r>
      <rPr>
        <sz val="11"/>
        <color theme="1"/>
        <rFont val="游ゴシック"/>
        <family val="2"/>
        <charset val="128"/>
        <scheme val="minor"/>
      </rPr>
      <t>O排出量(t-N</t>
    </r>
    <r>
      <rPr>
        <vertAlign val="subscript"/>
        <sz val="11"/>
        <color theme="1"/>
        <rFont val="游ゴシック"/>
        <family val="3"/>
        <charset val="128"/>
        <scheme val="minor"/>
      </rPr>
      <t>2</t>
    </r>
    <r>
      <rPr>
        <sz val="11"/>
        <color theme="1"/>
        <rFont val="游ゴシック"/>
        <family val="2"/>
        <charset val="128"/>
        <scheme val="minor"/>
      </rPr>
      <t>O/年)×298(t-CO</t>
    </r>
    <r>
      <rPr>
        <vertAlign val="subscript"/>
        <sz val="11"/>
        <color theme="1"/>
        <rFont val="游ゴシック"/>
        <family val="3"/>
        <charset val="128"/>
        <scheme val="minor"/>
      </rPr>
      <t>2</t>
    </r>
    <r>
      <rPr>
        <sz val="11"/>
        <color theme="1"/>
        <rFont val="游ゴシック"/>
        <family val="2"/>
        <charset val="128"/>
        <scheme val="minor"/>
      </rPr>
      <t>/t-N</t>
    </r>
    <r>
      <rPr>
        <vertAlign val="subscript"/>
        <sz val="11"/>
        <color theme="1"/>
        <rFont val="游ゴシック"/>
        <family val="3"/>
        <charset val="128"/>
        <scheme val="minor"/>
      </rPr>
      <t>2</t>
    </r>
    <r>
      <rPr>
        <sz val="11"/>
        <color theme="1"/>
        <rFont val="游ゴシック"/>
        <family val="2"/>
        <charset val="128"/>
        <scheme val="minor"/>
      </rPr>
      <t>O)</t>
    </r>
    <rPh sb="5" eb="8">
      <t>ハイシュツリョウ</t>
    </rPh>
    <rPh sb="15" eb="16">
      <t>ネン</t>
    </rPh>
    <phoneticPr fontId="2"/>
  </si>
  <si>
    <t>⑩：⑥+⑦+⑧+⑨</t>
    <phoneticPr fontId="2"/>
  </si>
  <si>
    <t>革新的技術</t>
    <rPh sb="0" eb="3">
      <t>カクシンテキ</t>
    </rPh>
    <phoneticPr fontId="2"/>
  </si>
  <si>
    <t>Y=0.007XD×稼働日数(日/年)×負荷率(％)</t>
    <rPh sb="10" eb="12">
      <t>カドウ</t>
    </rPh>
    <rPh sb="12" eb="14">
      <t>ニッスウ</t>
    </rPh>
    <rPh sb="15" eb="16">
      <t>ニチ</t>
    </rPh>
    <rPh sb="17" eb="18">
      <t>ネン</t>
    </rPh>
    <rPh sb="20" eb="22">
      <t>フカ</t>
    </rPh>
    <rPh sb="22" eb="23">
      <t>リツ</t>
    </rPh>
    <phoneticPr fontId="2"/>
  </si>
  <si>
    <t>⑫、XD：汚泥中固形物量(t-DS/日)</t>
    <phoneticPr fontId="2"/>
  </si>
  <si>
    <t>薬注率0.7%-TSにて算出。</t>
    <rPh sb="0" eb="1">
      <t>ヤク</t>
    </rPh>
    <rPh sb="1" eb="2">
      <t>チュウ</t>
    </rPh>
    <rPh sb="2" eb="3">
      <t>リツ</t>
    </rPh>
    <rPh sb="12" eb="14">
      <t>サンシュツ</t>
    </rPh>
    <phoneticPr fontId="2"/>
  </si>
  <si>
    <t>無機凝集剤由来GHG排出量</t>
    <rPh sb="0" eb="2">
      <t>ムキ</t>
    </rPh>
    <rPh sb="2" eb="4">
      <t>ギョウシュウ</t>
    </rPh>
    <rPh sb="4" eb="5">
      <t>ザイ</t>
    </rPh>
    <rPh sb="5" eb="7">
      <t>ユライ</t>
    </rPh>
    <rPh sb="10" eb="13">
      <t>ハイシュツリョウ</t>
    </rPh>
    <phoneticPr fontId="2"/>
  </si>
  <si>
    <t>Y=0.1XD×稼働日数(日/年)×負荷率(％)</t>
    <rPh sb="8" eb="10">
      <t>カドウ</t>
    </rPh>
    <rPh sb="10" eb="12">
      <t>ニッスウ</t>
    </rPh>
    <rPh sb="13" eb="14">
      <t>ニチ</t>
    </rPh>
    <rPh sb="15" eb="16">
      <t>ネン</t>
    </rPh>
    <rPh sb="18" eb="20">
      <t>フカ</t>
    </rPh>
    <rPh sb="20" eb="21">
      <t>リツ</t>
    </rPh>
    <phoneticPr fontId="2"/>
  </si>
  <si>
    <t>⑬、XD：汚泥中固形物量(t-DS/日)</t>
    <phoneticPr fontId="2"/>
  </si>
  <si>
    <t>×原単位(無機凝集剤、kg-CO2/kg)</t>
    <rPh sb="5" eb="7">
      <t>ムキ</t>
    </rPh>
    <phoneticPr fontId="2"/>
  </si>
  <si>
    <t>薬注率10%-TSにて算出。</t>
    <rPh sb="0" eb="1">
      <t>ヤク</t>
    </rPh>
    <rPh sb="1" eb="2">
      <t>チュウ</t>
    </rPh>
    <rPh sb="2" eb="3">
      <t>リツ</t>
    </rPh>
    <rPh sb="11" eb="13">
      <t>サンシュツ</t>
    </rPh>
    <phoneticPr fontId="2"/>
  </si>
  <si>
    <t>焼却・発電設備</t>
    <rPh sb="3" eb="5">
      <t>ハツデン</t>
    </rPh>
    <phoneticPr fontId="2"/>
  </si>
  <si>
    <t>Y=補助燃料(kL/年)×原単位(補助燃料、kg-CO2/L)</t>
    <rPh sb="2" eb="4">
      <t>ホジョ</t>
    </rPh>
    <rPh sb="4" eb="6">
      <t>ネンリョウ</t>
    </rPh>
    <rPh sb="10" eb="11">
      <t>ネン</t>
    </rPh>
    <phoneticPr fontId="2"/>
  </si>
  <si>
    <t>Y=苛性ソーダ使用値(24%、t/年)×原単位(苛性ソーダ、kg-CO2/kg)×0.24</t>
    <rPh sb="2" eb="4">
      <t>カセイ</t>
    </rPh>
    <rPh sb="7" eb="9">
      <t>シヨウ</t>
    </rPh>
    <rPh sb="9" eb="10">
      <t>アタイ</t>
    </rPh>
    <rPh sb="17" eb="18">
      <t>ネン</t>
    </rPh>
    <rPh sb="20" eb="23">
      <t>ゲンタンイ</t>
    </rPh>
    <phoneticPr fontId="2"/>
  </si>
  <si>
    <t>⑯</t>
    <phoneticPr fontId="2"/>
  </si>
  <si>
    <t>⑰：⑪+⑫+⑬+⑭+⑮+⑯</t>
    <phoneticPr fontId="2"/>
  </si>
  <si>
    <t>焼却・発電設備</t>
    <phoneticPr fontId="2"/>
  </si>
  <si>
    <r>
      <t>N</t>
    </r>
    <r>
      <rPr>
        <vertAlign val="subscript"/>
        <sz val="11"/>
        <color theme="1"/>
        <rFont val="游ゴシック"/>
        <family val="3"/>
        <charset val="128"/>
        <scheme val="minor"/>
      </rPr>
      <t>2</t>
    </r>
    <r>
      <rPr>
        <sz val="11"/>
        <color theme="1"/>
        <rFont val="游ゴシック"/>
        <family val="2"/>
        <charset val="128"/>
        <scheme val="minor"/>
      </rPr>
      <t>O由来GHG排出量(焼却設備含む)</t>
    </r>
    <rPh sb="3" eb="5">
      <t>ユライ</t>
    </rPh>
    <rPh sb="8" eb="11">
      <t>ハイシュツリョウ</t>
    </rPh>
    <phoneticPr fontId="2"/>
  </si>
  <si>
    <r>
      <t>N</t>
    </r>
    <r>
      <rPr>
        <vertAlign val="subscript"/>
        <sz val="11"/>
        <color theme="1"/>
        <rFont val="游ゴシック"/>
        <family val="3"/>
        <charset val="128"/>
        <scheme val="minor"/>
      </rPr>
      <t>2</t>
    </r>
    <r>
      <rPr>
        <sz val="11"/>
        <color theme="1"/>
        <rFont val="游ゴシック"/>
        <family val="2"/>
        <charset val="128"/>
        <scheme val="minor"/>
      </rPr>
      <t>O排出量　(t-N</t>
    </r>
    <r>
      <rPr>
        <vertAlign val="subscript"/>
        <sz val="11"/>
        <color theme="1"/>
        <rFont val="游ゴシック"/>
        <family val="3"/>
        <charset val="128"/>
        <scheme val="minor"/>
      </rPr>
      <t>2</t>
    </r>
    <r>
      <rPr>
        <sz val="11"/>
        <color theme="1"/>
        <rFont val="游ゴシック"/>
        <family val="2"/>
        <charset val="128"/>
        <scheme val="minor"/>
      </rPr>
      <t>O/年)</t>
    </r>
    <rPh sb="3" eb="6">
      <t>ハイシュツリョウ</t>
    </rPh>
    <rPh sb="14" eb="15">
      <t>ネン</t>
    </rPh>
    <phoneticPr fontId="2"/>
  </si>
  <si>
    <r>
      <t>Y=0.0001(t-N</t>
    </r>
    <r>
      <rPr>
        <vertAlign val="subscript"/>
        <sz val="11"/>
        <color theme="1"/>
        <rFont val="游ゴシック"/>
        <family val="3"/>
        <charset val="128"/>
        <scheme val="minor"/>
      </rPr>
      <t>2</t>
    </r>
    <r>
      <rPr>
        <sz val="11"/>
        <color theme="1"/>
        <rFont val="游ゴシック"/>
        <family val="2"/>
        <charset val="128"/>
        <scheme val="minor"/>
      </rPr>
      <t>O/wet-t)Xwb×稼働日数(日/年)×負荷率(%)</t>
    </r>
    <rPh sb="25" eb="27">
      <t>カドウ</t>
    </rPh>
    <rPh sb="27" eb="29">
      <t>ニッスウ</t>
    </rPh>
    <rPh sb="30" eb="31">
      <t>ヒ</t>
    </rPh>
    <rPh sb="32" eb="33">
      <t>ネン</t>
    </rPh>
    <rPh sb="35" eb="37">
      <t>フカ</t>
    </rPh>
    <rPh sb="37" eb="38">
      <t>リツ</t>
    </rPh>
    <phoneticPr fontId="2"/>
  </si>
  <si>
    <t>Xwb：脱水汚泥焼却量(wet-t/日)</t>
    <phoneticPr fontId="2"/>
  </si>
  <si>
    <t>⑳</t>
    <phoneticPr fontId="2"/>
  </si>
  <si>
    <t>合計(排出のみ）</t>
    <rPh sb="0" eb="2">
      <t>ゴウケイ</t>
    </rPh>
    <phoneticPr fontId="2"/>
  </si>
  <si>
    <t>㉑：⑰+⑱+⑲+⑳</t>
    <phoneticPr fontId="2"/>
  </si>
  <si>
    <t>Y=-発電電力(MWh/年)×原単位(電気、kg-CO2/kWh)</t>
    <rPh sb="3" eb="5">
      <t>ハツデン</t>
    </rPh>
    <phoneticPr fontId="2"/>
  </si>
  <si>
    <t>合計(発電分含む）</t>
    <rPh sb="0" eb="2">
      <t>ゴウケイ</t>
    </rPh>
    <rPh sb="3" eb="5">
      <t>ハツデン</t>
    </rPh>
    <rPh sb="5" eb="6">
      <t>ブン</t>
    </rPh>
    <rPh sb="6" eb="7">
      <t>フク</t>
    </rPh>
    <phoneticPr fontId="2"/>
  </si>
  <si>
    <t>㉓：㉑+㉒</t>
    <phoneticPr fontId="2"/>
  </si>
  <si>
    <t>㉔：(1－㉓/⑩)×100</t>
    <phoneticPr fontId="2"/>
  </si>
  <si>
    <t>※ガイドラインでは3ケースの処理規模で試算した建設費とユーティリティー消費量を掲載するとともに、その値から求めた近似式を費用関数として設定しています。
　本ツールでは費用関数を利用して算出しているため、ガイドラインに掲載した値とは若干の差異が生じる場合があります。</t>
    <rPh sb="14" eb="16">
      <t>ショリ</t>
    </rPh>
    <rPh sb="16" eb="18">
      <t>キボ</t>
    </rPh>
    <rPh sb="19" eb="21">
      <t>シサン</t>
    </rPh>
    <rPh sb="23" eb="26">
      <t>ケンセツヒ</t>
    </rPh>
    <rPh sb="35" eb="38">
      <t>ショウヒリョウ</t>
    </rPh>
    <rPh sb="39" eb="41">
      <t>ケイサイ</t>
    </rPh>
    <rPh sb="50" eb="51">
      <t>アタイ</t>
    </rPh>
    <rPh sb="53" eb="54">
      <t>モト</t>
    </rPh>
    <rPh sb="56" eb="59">
      <t>キンジシキ</t>
    </rPh>
    <rPh sb="60" eb="62">
      <t>ヒヨウ</t>
    </rPh>
    <rPh sb="62" eb="64">
      <t>カンスウ</t>
    </rPh>
    <rPh sb="67" eb="69">
      <t>セッテイ</t>
    </rPh>
    <rPh sb="77" eb="78">
      <t>ホン</t>
    </rPh>
    <rPh sb="83" eb="85">
      <t>ヒヨウ</t>
    </rPh>
    <rPh sb="85" eb="87">
      <t>カンスウ</t>
    </rPh>
    <rPh sb="88" eb="90">
      <t>リヨウ</t>
    </rPh>
    <rPh sb="92" eb="94">
      <t>サンシュツ</t>
    </rPh>
    <rPh sb="108" eb="110">
      <t>ケイサイ</t>
    </rPh>
    <rPh sb="112" eb="113">
      <t>アタイ</t>
    </rPh>
    <rPh sb="115" eb="117">
      <t>ジャッカン</t>
    </rPh>
    <rPh sb="118" eb="120">
      <t>サイ</t>
    </rPh>
    <rPh sb="121" eb="122">
      <t>ショウ</t>
    </rPh>
    <rPh sb="124" eb="126">
      <t>バアイ</t>
    </rPh>
    <phoneticPr fontId="2"/>
  </si>
  <si>
    <t>固形燃料化技術の導入</t>
    <rPh sb="0" eb="4">
      <t>コケイネンリョウ</t>
    </rPh>
    <rPh sb="4" eb="5">
      <t>カ</t>
    </rPh>
    <rPh sb="5" eb="7">
      <t>ギジュツ</t>
    </rPh>
    <rPh sb="8" eb="10">
      <t>ドウニュウ</t>
    </rPh>
    <phoneticPr fontId="2"/>
  </si>
  <si>
    <t>固形燃料化設備の無い処理場</t>
    <rPh sb="0" eb="5">
      <t>コケイネンリョウカ</t>
    </rPh>
    <rPh sb="5" eb="7">
      <t>セツビ</t>
    </rPh>
    <rPh sb="8" eb="9">
      <t>ナ</t>
    </rPh>
    <rPh sb="10" eb="13">
      <t>ショリジョウ</t>
    </rPh>
    <phoneticPr fontId="2"/>
  </si>
  <si>
    <t>固形燃料化設備</t>
    <rPh sb="0" eb="2">
      <t>コケイ</t>
    </rPh>
    <rPh sb="2" eb="4">
      <t>ネンリョウ</t>
    </rPh>
    <rPh sb="4" eb="5">
      <t>カ</t>
    </rPh>
    <rPh sb="5" eb="7">
      <t>セツビ</t>
    </rPh>
    <phoneticPr fontId="2"/>
  </si>
  <si>
    <t>固形燃料化技術に関しては下記URLより、「下水汚泥のエネルギー化技術導入簡易検討ツール」をダウンロードし試算を行ってください。</t>
    <rPh sb="0" eb="2">
      <t>コケイ</t>
    </rPh>
    <rPh sb="2" eb="4">
      <t>ネンリョウ</t>
    </rPh>
    <rPh sb="4" eb="5">
      <t>カ</t>
    </rPh>
    <rPh sb="5" eb="7">
      <t>ギジュツ</t>
    </rPh>
    <rPh sb="8" eb="9">
      <t>カン</t>
    </rPh>
    <rPh sb="12" eb="14">
      <t>カキ</t>
    </rPh>
    <rPh sb="52" eb="54">
      <t>シサン</t>
    </rPh>
    <rPh sb="55" eb="56">
      <t>オコナ</t>
    </rPh>
    <phoneticPr fontId="2"/>
  </si>
  <si>
    <t>検討技術の詳細は「下水汚泥エネルギー化技術ガイドライン-改訂版-」を参照してください</t>
    <rPh sb="0" eb="2">
      <t>ケントウ</t>
    </rPh>
    <rPh sb="2" eb="4">
      <t>ギジュツ</t>
    </rPh>
    <rPh sb="5" eb="7">
      <t>ショウサイ</t>
    </rPh>
    <rPh sb="34" eb="36">
      <t>サンショウ</t>
    </rPh>
    <phoneticPr fontId="2"/>
  </si>
  <si>
    <t>試算ツールにて試算後、下記に削減量の入力をして下さい。</t>
    <rPh sb="0" eb="2">
      <t>シサン</t>
    </rPh>
    <rPh sb="7" eb="10">
      <t>シサンゴ</t>
    </rPh>
    <rPh sb="11" eb="13">
      <t>カキ</t>
    </rPh>
    <rPh sb="14" eb="17">
      <t>サクゲンリョウ</t>
    </rPh>
    <rPh sb="18" eb="20">
      <t>ニュウリョク</t>
    </rPh>
    <rPh sb="23" eb="24">
      <t>クダ</t>
    </rPh>
    <phoneticPr fontId="2"/>
  </si>
  <si>
    <t>No.1、No.2、No.3</t>
    <phoneticPr fontId="2"/>
  </si>
  <si>
    <t>検討技術の詳細は「 下水道バイオマスからの電力創造システム実証事業」を参照してください</t>
    <rPh sb="0" eb="2">
      <t>ケントウ</t>
    </rPh>
    <rPh sb="2" eb="4">
      <t>ギジュツ</t>
    </rPh>
    <rPh sb="5" eb="7">
      <t>ショウサイ</t>
    </rPh>
    <rPh sb="35" eb="37">
      <t>サンショウ</t>
    </rPh>
    <phoneticPr fontId="2"/>
  </si>
  <si>
    <t>以降の計算シートは「下水道バイオマスからの電力創造システム実証事業」における技術導入効果計算シートの転載になります。</t>
    <rPh sb="0" eb="2">
      <t>イコウ</t>
    </rPh>
    <rPh sb="3" eb="5">
      <t>ケイサン</t>
    </rPh>
    <rPh sb="38" eb="40">
      <t>ギジュツ</t>
    </rPh>
    <rPh sb="40" eb="42">
      <t>ドウニュウ</t>
    </rPh>
    <rPh sb="42" eb="44">
      <t>コウカ</t>
    </rPh>
    <rPh sb="44" eb="46">
      <t>ケイサン</t>
    </rPh>
    <rPh sb="50" eb="52">
      <t>テンサイ</t>
    </rPh>
    <phoneticPr fontId="2"/>
  </si>
  <si>
    <t>　費用を算出する場合非表示になっている27~91を再表示させて下さい</t>
    <rPh sb="1" eb="3">
      <t>ヒヨウ</t>
    </rPh>
    <rPh sb="4" eb="6">
      <t>サンシュツ</t>
    </rPh>
    <rPh sb="8" eb="10">
      <t>バアイ</t>
    </rPh>
    <rPh sb="10" eb="13">
      <t>ヒヒョウジ</t>
    </rPh>
    <rPh sb="25" eb="26">
      <t>サイ</t>
    </rPh>
    <rPh sb="26" eb="28">
      <t>ヒョウジ</t>
    </rPh>
    <rPh sb="31" eb="32">
      <t>クダ</t>
    </rPh>
    <phoneticPr fontId="2"/>
  </si>
  <si>
    <t>【B－DASH】下水道バイオマスからの電力創造システムの導入</t>
    <rPh sb="28" eb="30">
      <t>ドウニュウ</t>
    </rPh>
    <phoneticPr fontId="2"/>
  </si>
  <si>
    <t>【B－DASH】温室効果ガス削減を考慮した発電型汚泥焼却技術</t>
    <phoneticPr fontId="2"/>
  </si>
  <si>
    <t>設備規模(wet-t/日)</t>
    <rPh sb="0" eb="2">
      <t>セツビ</t>
    </rPh>
    <rPh sb="2" eb="4">
      <t>キボ</t>
    </rPh>
    <phoneticPr fontId="2"/>
  </si>
  <si>
    <t>投入汚泥量(wet-t/日)</t>
    <rPh sb="0" eb="2">
      <t>トウニュウ</t>
    </rPh>
    <rPh sb="2" eb="5">
      <t>オデイリョウ</t>
    </rPh>
    <phoneticPr fontId="2"/>
  </si>
  <si>
    <t>年間処理脱水汚泥量(wet-t/年)</t>
    <rPh sb="0" eb="2">
      <t>ネンカン</t>
    </rPh>
    <rPh sb="2" eb="4">
      <t>ショリ</t>
    </rPh>
    <rPh sb="4" eb="6">
      <t>ダッスイ</t>
    </rPh>
    <rPh sb="6" eb="9">
      <t>オデイリョウ</t>
    </rPh>
    <rPh sb="16" eb="17">
      <t>ネン</t>
    </rPh>
    <phoneticPr fontId="2"/>
  </si>
  <si>
    <t>低位発熱量(kJ/kg-DS)</t>
    <phoneticPr fontId="2"/>
  </si>
  <si>
    <t>エネルギー換算係数(自動入力)</t>
    <phoneticPr fontId="2"/>
  </si>
  <si>
    <r>
      <t>蒸発潜熱(kJ/kg-H</t>
    </r>
    <r>
      <rPr>
        <vertAlign val="subscript"/>
        <sz val="11"/>
        <color theme="1"/>
        <rFont val="游ゴシック"/>
        <family val="3"/>
        <charset val="128"/>
        <scheme val="minor"/>
      </rPr>
      <t>2</t>
    </r>
    <r>
      <rPr>
        <sz val="11"/>
        <color theme="1"/>
        <rFont val="游ゴシック"/>
        <family val="2"/>
        <charset val="128"/>
        <scheme val="minor"/>
      </rPr>
      <t>O)</t>
    </r>
    <phoneticPr fontId="2"/>
  </si>
  <si>
    <r>
      <t>補助燃料使用量(m</t>
    </r>
    <r>
      <rPr>
        <vertAlign val="superscript"/>
        <sz val="11"/>
        <rFont val="游ゴシック"/>
        <family val="3"/>
        <charset val="128"/>
        <scheme val="minor"/>
      </rPr>
      <t>3</t>
    </r>
    <r>
      <rPr>
        <sz val="11"/>
        <rFont val="游ゴシック"/>
        <family val="3"/>
        <charset val="128"/>
        <scheme val="minor"/>
      </rPr>
      <t>/h)</t>
    </r>
    <r>
      <rPr>
        <vertAlign val="superscript"/>
        <sz val="11"/>
        <rFont val="游ゴシック"/>
        <family val="3"/>
        <charset val="128"/>
        <scheme val="minor"/>
      </rPr>
      <t>※1</t>
    </r>
    <rPh sb="0" eb="2">
      <t>ホジョ</t>
    </rPh>
    <rPh sb="2" eb="4">
      <t>ネンリョウ</t>
    </rPh>
    <rPh sb="4" eb="7">
      <t>シヨウリョウ</t>
    </rPh>
    <phoneticPr fontId="2"/>
  </si>
  <si>
    <t>温室効果ガス(GHG)排出量原単位(自動入力)</t>
    <rPh sb="0" eb="2">
      <t>オンシツ</t>
    </rPh>
    <rPh sb="2" eb="4">
      <t>コウカ</t>
    </rPh>
    <rPh sb="11" eb="14">
      <t>ハイシュツリョウ</t>
    </rPh>
    <rPh sb="14" eb="17">
      <t>ゲンタンイ</t>
    </rPh>
    <rPh sb="18" eb="20">
      <t>ジドウ</t>
    </rPh>
    <rPh sb="20" eb="22">
      <t>ニュウリョク</t>
    </rPh>
    <phoneticPr fontId="2"/>
  </si>
  <si>
    <t>※1 補助燃料種類及び使用量は検討処理場の実績値とする。消化ガス(バイオマス系燃料)は試算対象外である。</t>
    <rPh sb="17" eb="20">
      <t>ショリジョウ</t>
    </rPh>
    <phoneticPr fontId="2"/>
  </si>
  <si>
    <t>総費用（年価換算値）※革新的技術（既設焼却炉1基に対してボイラ1基、タービン1基を追加設置する場合）</t>
    <rPh sb="0" eb="3">
      <t>ソウヒヨウ</t>
    </rPh>
    <rPh sb="4" eb="6">
      <t>ネンカ</t>
    </rPh>
    <rPh sb="6" eb="9">
      <t>カンサンチ</t>
    </rPh>
    <rPh sb="11" eb="14">
      <t>カクシンテキ</t>
    </rPh>
    <rPh sb="14" eb="16">
      <t>ギジュツ</t>
    </rPh>
    <rPh sb="17" eb="19">
      <t>キセツ</t>
    </rPh>
    <rPh sb="19" eb="22">
      <t>ショウキャクロ</t>
    </rPh>
    <rPh sb="23" eb="24">
      <t>キ</t>
    </rPh>
    <rPh sb="25" eb="26">
      <t>タイ</t>
    </rPh>
    <rPh sb="32" eb="33">
      <t>キ</t>
    </rPh>
    <rPh sb="39" eb="40">
      <t>キ</t>
    </rPh>
    <rPh sb="41" eb="43">
      <t>ツイカ</t>
    </rPh>
    <rPh sb="43" eb="45">
      <t>セッチ</t>
    </rPh>
    <rPh sb="47" eb="49">
      <t>バアイ</t>
    </rPh>
    <phoneticPr fontId="2"/>
  </si>
  <si>
    <t>土木建築建築費
(建屋：電気、ブロワー室程度)</t>
    <rPh sb="0" eb="2">
      <t>ドボク</t>
    </rPh>
    <rPh sb="2" eb="4">
      <t>ケンチク</t>
    </rPh>
    <rPh sb="4" eb="7">
      <t>ケンチクヒ</t>
    </rPh>
    <rPh sb="9" eb="11">
      <t>タテヤ</t>
    </rPh>
    <rPh sb="12" eb="14">
      <t>デンキ</t>
    </rPh>
    <rPh sb="19" eb="20">
      <t>シツ</t>
    </rPh>
    <rPh sb="20" eb="22">
      <t>テイド</t>
    </rPh>
    <phoneticPr fontId="2"/>
  </si>
  <si>
    <r>
      <t>Y=2.426Xd</t>
    </r>
    <r>
      <rPr>
        <vertAlign val="superscript"/>
        <sz val="11"/>
        <color theme="1"/>
        <rFont val="游ゴシック"/>
        <family val="3"/>
        <charset val="128"/>
        <scheme val="minor"/>
      </rPr>
      <t>0.0094</t>
    </r>
    <r>
      <rPr>
        <sz val="11"/>
        <color theme="1"/>
        <rFont val="游ゴシック"/>
        <family val="3"/>
        <charset val="128"/>
        <scheme val="minor"/>
      </rPr>
      <t>×100</t>
    </r>
    <phoneticPr fontId="2"/>
  </si>
  <si>
    <t>①、Xd：設備規模(wet-t/日)</t>
    <rPh sb="5" eb="7">
      <t>セツビ</t>
    </rPh>
    <rPh sb="7" eb="9">
      <t>キボ</t>
    </rPh>
    <rPh sb="16" eb="17">
      <t>ヒ</t>
    </rPh>
    <phoneticPr fontId="2"/>
  </si>
  <si>
    <r>
      <t>Y=1.888Xd</t>
    </r>
    <r>
      <rPr>
        <vertAlign val="superscript"/>
        <sz val="11"/>
        <color theme="1"/>
        <rFont val="游ゴシック"/>
        <family val="3"/>
        <charset val="128"/>
        <scheme val="minor"/>
      </rPr>
      <t>0.597</t>
    </r>
    <r>
      <rPr>
        <sz val="11"/>
        <color theme="1"/>
        <rFont val="游ゴシック"/>
        <family val="3"/>
        <charset val="128"/>
        <scheme val="minor"/>
      </rPr>
      <t>×100</t>
    </r>
    <phoneticPr fontId="2"/>
  </si>
  <si>
    <t>②</t>
    <phoneticPr fontId="2"/>
  </si>
  <si>
    <t>電気建設費</t>
    <rPh sb="0" eb="2">
      <t>デンキ</t>
    </rPh>
    <rPh sb="2" eb="5">
      <t>ケンセツヒ</t>
    </rPh>
    <phoneticPr fontId="2"/>
  </si>
  <si>
    <r>
      <t>Y=0.726Xd</t>
    </r>
    <r>
      <rPr>
        <vertAlign val="superscript"/>
        <sz val="11"/>
        <color theme="1"/>
        <rFont val="游ゴシック"/>
        <family val="3"/>
        <charset val="128"/>
        <scheme val="minor"/>
      </rPr>
      <t>0.539</t>
    </r>
    <r>
      <rPr>
        <sz val="11"/>
        <color theme="1"/>
        <rFont val="游ゴシック"/>
        <family val="3"/>
        <charset val="128"/>
        <scheme val="minor"/>
      </rPr>
      <t>×100</t>
    </r>
    <phoneticPr fontId="2"/>
  </si>
  <si>
    <t>④：①＋②＋③</t>
    <phoneticPr fontId="2"/>
  </si>
  <si>
    <t>⑤、i：利子率、n：耐用年数
※工種別に年価を算出し、合計する。</t>
    <rPh sb="4" eb="7">
      <t>リシリツ</t>
    </rPh>
    <rPh sb="10" eb="12">
      <t>タイヨウ</t>
    </rPh>
    <rPh sb="12" eb="14">
      <t>ネンスウ</t>
    </rPh>
    <rPh sb="23" eb="25">
      <t>サンシュツ</t>
    </rPh>
    <phoneticPr fontId="2"/>
  </si>
  <si>
    <r>
      <t>Y</t>
    </r>
    <r>
      <rPr>
        <sz val="11"/>
        <color theme="1"/>
        <rFont val="游ゴシック"/>
        <family val="2"/>
        <charset val="128"/>
        <scheme val="minor"/>
      </rPr>
      <t>=0.287Xy</t>
    </r>
    <r>
      <rPr>
        <vertAlign val="superscript"/>
        <sz val="11"/>
        <color theme="1"/>
        <rFont val="游ゴシック"/>
        <family val="3"/>
        <charset val="128"/>
        <scheme val="minor"/>
      </rPr>
      <t>0.673</t>
    </r>
    <phoneticPr fontId="2"/>
  </si>
  <si>
    <t xml:space="preserve">⑥、Xy：年間処理脱水汚泥量(wet-t/年) </t>
    <rPh sb="5" eb="7">
      <t>ネンカン</t>
    </rPh>
    <rPh sb="7" eb="9">
      <t>ショリ</t>
    </rPh>
    <rPh sb="9" eb="11">
      <t>ダッスイ</t>
    </rPh>
    <rPh sb="11" eb="14">
      <t>オデイリョウ</t>
    </rPh>
    <rPh sb="21" eb="22">
      <t>ネン</t>
    </rPh>
    <phoneticPr fontId="2"/>
  </si>
  <si>
    <t>a：⑤＋⑥</t>
    <phoneticPr fontId="2"/>
  </si>
  <si>
    <t>機械設備</t>
    <rPh sb="0" eb="2">
      <t>キカイ</t>
    </rPh>
    <rPh sb="2" eb="4">
      <t>セツビ</t>
    </rPh>
    <phoneticPr fontId="2"/>
  </si>
  <si>
    <t>発電、局所攪拌設備</t>
    <rPh sb="0" eb="2">
      <t>ハツデン</t>
    </rPh>
    <rPh sb="3" eb="5">
      <t>キョクショ</t>
    </rPh>
    <rPh sb="5" eb="7">
      <t>カクハン</t>
    </rPh>
    <rPh sb="7" eb="9">
      <t>セツビ</t>
    </rPh>
    <phoneticPr fontId="2"/>
  </si>
  <si>
    <t>土木設備</t>
    <rPh sb="0" eb="2">
      <t>ドボク</t>
    </rPh>
    <rPh sb="2" eb="4">
      <t>セツビ</t>
    </rPh>
    <phoneticPr fontId="2"/>
  </si>
  <si>
    <r>
      <t>Y</t>
    </r>
    <r>
      <rPr>
        <sz val="11"/>
        <color theme="1"/>
        <rFont val="游ゴシック"/>
        <family val="2"/>
        <charset val="128"/>
        <scheme val="minor"/>
      </rPr>
      <t>=0.134X+6.58</t>
    </r>
    <phoneticPr fontId="2"/>
  </si>
  <si>
    <t>⑦、X：汚泥投入量(wet-t/日)</t>
    <rPh sb="4" eb="6">
      <t>オデイ</t>
    </rPh>
    <rPh sb="6" eb="9">
      <t>トウニュウリョウ</t>
    </rPh>
    <rPh sb="16" eb="17">
      <t>ヒ</t>
    </rPh>
    <phoneticPr fontId="2"/>
  </si>
  <si>
    <r>
      <t>Y</t>
    </r>
    <r>
      <rPr>
        <sz val="11"/>
        <color theme="1"/>
        <rFont val="游ゴシック"/>
        <family val="2"/>
        <charset val="128"/>
        <scheme val="minor"/>
      </rPr>
      <t>=2.42X+340</t>
    </r>
    <phoneticPr fontId="2"/>
  </si>
  <si>
    <t>⑧、X：汚泥投入量(wet-t/日)</t>
    <rPh sb="4" eb="6">
      <t>オデイ</t>
    </rPh>
    <rPh sb="6" eb="9">
      <t>トウニュウリョウ</t>
    </rPh>
    <phoneticPr fontId="2"/>
  </si>
  <si>
    <t>局所攪拌空気吹込み設備</t>
    <rPh sb="0" eb="2">
      <t>キョクショ</t>
    </rPh>
    <rPh sb="2" eb="4">
      <t>カクハン</t>
    </rPh>
    <rPh sb="4" eb="6">
      <t>クウキ</t>
    </rPh>
    <rPh sb="6" eb="8">
      <t>フキコミ</t>
    </rPh>
    <rPh sb="9" eb="11">
      <t>セツビ</t>
    </rPh>
    <phoneticPr fontId="2"/>
  </si>
  <si>
    <r>
      <t>Y</t>
    </r>
    <r>
      <rPr>
        <sz val="11"/>
        <color theme="1"/>
        <rFont val="游ゴシック"/>
        <family val="2"/>
        <charset val="128"/>
        <scheme val="minor"/>
      </rPr>
      <t>=0.0142X+0.791</t>
    </r>
    <phoneticPr fontId="2"/>
  </si>
  <si>
    <t>⑨、X：汚泥投入量(wet-t/日)</t>
    <rPh sb="4" eb="6">
      <t>オデイ</t>
    </rPh>
    <rPh sb="6" eb="9">
      <t>トウニュウリョウ</t>
    </rPh>
    <phoneticPr fontId="2"/>
  </si>
  <si>
    <r>
      <t>Y</t>
    </r>
    <r>
      <rPr>
        <sz val="11"/>
        <color theme="1"/>
        <rFont val="游ゴシック"/>
        <family val="2"/>
        <charset val="128"/>
        <scheme val="minor"/>
      </rPr>
      <t>=0.311X+53.3</t>
    </r>
    <phoneticPr fontId="2"/>
  </si>
  <si>
    <t>⑩、X：汚泥投入量(wet-t/日)</t>
    <rPh sb="4" eb="6">
      <t>オデイ</t>
    </rPh>
    <rPh sb="6" eb="9">
      <t>トウニュウリョウ</t>
    </rPh>
    <phoneticPr fontId="2"/>
  </si>
  <si>
    <t>⑪：⑦＋⑧＋⑨＋⑩</t>
    <phoneticPr fontId="2"/>
  </si>
  <si>
    <t>⑫、i：利子率、n：耐用年数
※工種別に年価を算出し、合計する。</t>
    <rPh sb="23" eb="25">
      <t>サンシュツ</t>
    </rPh>
    <phoneticPr fontId="2"/>
  </si>
  <si>
    <t>消費電力量
(kWh)</t>
    <rPh sb="0" eb="2">
      <t>ショウヒ</t>
    </rPh>
    <rPh sb="2" eb="5">
      <t>デンリョクリョウ</t>
    </rPh>
    <phoneticPr fontId="2"/>
  </si>
  <si>
    <r>
      <t>Y</t>
    </r>
    <r>
      <rPr>
        <sz val="11"/>
        <color theme="1"/>
        <rFont val="游ゴシック"/>
        <family val="2"/>
        <charset val="128"/>
        <scheme val="minor"/>
      </rPr>
      <t>=0.119X+65.1</t>
    </r>
    <phoneticPr fontId="2"/>
  </si>
  <si>
    <t>X：設備規模(wet-t/日)</t>
    <phoneticPr fontId="2"/>
  </si>
  <si>
    <r>
      <t>Y=消費電力量(kWh)×稼働日数(日/年)×24(h/日)×単価(円/kWh)×10</t>
    </r>
    <r>
      <rPr>
        <vertAlign val="superscript"/>
        <sz val="11"/>
        <color theme="1"/>
        <rFont val="游ゴシック"/>
        <family val="3"/>
        <charset val="128"/>
        <scheme val="minor"/>
      </rPr>
      <t>-6</t>
    </r>
    <rPh sb="2" eb="4">
      <t>ショウヒ</t>
    </rPh>
    <rPh sb="4" eb="7">
      <t>デンリョクリョウ</t>
    </rPh>
    <rPh sb="13" eb="15">
      <t>カドウ</t>
    </rPh>
    <rPh sb="15" eb="17">
      <t>ニッスウ</t>
    </rPh>
    <rPh sb="18" eb="19">
      <t>ニチ</t>
    </rPh>
    <rPh sb="20" eb="21">
      <t>ネン</t>
    </rPh>
    <rPh sb="28" eb="29">
      <t>ヒ</t>
    </rPh>
    <rPh sb="31" eb="33">
      <t>タンカ</t>
    </rPh>
    <rPh sb="34" eb="35">
      <t>エン</t>
    </rPh>
    <phoneticPr fontId="2"/>
  </si>
  <si>
    <t>局所攪拌空気吹込み設備</t>
    <rPh sb="0" eb="2">
      <t>キョクショ</t>
    </rPh>
    <rPh sb="2" eb="4">
      <t>カクハン</t>
    </rPh>
    <rPh sb="4" eb="6">
      <t>クウキ</t>
    </rPh>
    <rPh sb="6" eb="8">
      <t>フキコ</t>
    </rPh>
    <rPh sb="9" eb="11">
      <t>セツビ</t>
    </rPh>
    <phoneticPr fontId="2"/>
  </si>
  <si>
    <t>投入熱量
(GJ/h)</t>
    <rPh sb="0" eb="2">
      <t>トウニュウ</t>
    </rPh>
    <rPh sb="2" eb="4">
      <t>ネツリョウ</t>
    </rPh>
    <phoneticPr fontId="2"/>
  </si>
  <si>
    <r>
      <t>Y=｛汚泥投入量(wet-t/日)×10</t>
    </r>
    <r>
      <rPr>
        <vertAlign val="superscript"/>
        <sz val="10"/>
        <rFont val="游ゴシック"/>
        <family val="3"/>
        <charset val="128"/>
        <scheme val="minor"/>
      </rPr>
      <t>3</t>
    </r>
    <r>
      <rPr>
        <sz val="10"/>
        <rFont val="游ゴシック"/>
        <family val="3"/>
        <charset val="128"/>
        <scheme val="minor"/>
      </rPr>
      <t>×1/24(日/h)×(1-含水率)×低位発熱量(kJ/kg-DS)－蒸発潜熱(kJ/kg-H</t>
    </r>
    <r>
      <rPr>
        <vertAlign val="subscript"/>
        <sz val="10"/>
        <rFont val="游ゴシック"/>
        <family val="3"/>
        <charset val="128"/>
        <scheme val="minor"/>
      </rPr>
      <t>2</t>
    </r>
    <r>
      <rPr>
        <sz val="10"/>
        <rFont val="游ゴシック"/>
        <family val="3"/>
        <charset val="128"/>
        <scheme val="minor"/>
      </rPr>
      <t>O)×(wet-t/日)×10</t>
    </r>
    <r>
      <rPr>
        <vertAlign val="superscript"/>
        <sz val="10"/>
        <rFont val="游ゴシック"/>
        <family val="3"/>
        <charset val="128"/>
        <scheme val="minor"/>
      </rPr>
      <t>3</t>
    </r>
    <r>
      <rPr>
        <sz val="10"/>
        <rFont val="游ゴシック"/>
        <family val="3"/>
        <charset val="128"/>
        <scheme val="minor"/>
      </rPr>
      <t>×1/24(日/h)×含水率}×10</t>
    </r>
    <r>
      <rPr>
        <vertAlign val="superscript"/>
        <sz val="10"/>
        <rFont val="游ゴシック"/>
        <family val="3"/>
        <charset val="128"/>
        <scheme val="minor"/>
      </rPr>
      <t>-6</t>
    </r>
    <r>
      <rPr>
        <sz val="10"/>
        <rFont val="游ゴシック"/>
        <family val="3"/>
        <charset val="128"/>
        <scheme val="minor"/>
      </rPr>
      <t>+{補助燃料使用量(Nm</t>
    </r>
    <r>
      <rPr>
        <vertAlign val="superscript"/>
        <sz val="10"/>
        <rFont val="游ゴシック"/>
        <family val="3"/>
        <charset val="128"/>
        <scheme val="minor"/>
      </rPr>
      <t>3</t>
    </r>
    <r>
      <rPr>
        <sz val="10"/>
        <rFont val="游ゴシック"/>
        <family val="3"/>
        <charset val="128"/>
        <scheme val="minor"/>
      </rPr>
      <t>/h)×補助燃料エネルギー換算係数(MJ/h)×10</t>
    </r>
    <r>
      <rPr>
        <vertAlign val="superscript"/>
        <sz val="10"/>
        <rFont val="游ゴシック"/>
        <family val="3"/>
        <charset val="128"/>
        <scheme val="minor"/>
      </rPr>
      <t>-3</t>
    </r>
    <rPh sb="3" eb="5">
      <t>オデイ</t>
    </rPh>
    <rPh sb="5" eb="8">
      <t>トウニュウリョウ</t>
    </rPh>
    <rPh sb="15" eb="16">
      <t>ヒ</t>
    </rPh>
    <rPh sb="27" eb="28">
      <t>ヒ</t>
    </rPh>
    <rPh sb="35" eb="38">
      <t>ガンスイリツ</t>
    </rPh>
    <rPh sb="40" eb="42">
      <t>テイイ</t>
    </rPh>
    <rPh sb="42" eb="45">
      <t>ハツネツリョウ</t>
    </rPh>
    <rPh sb="56" eb="58">
      <t>ジョウハツ</t>
    </rPh>
    <rPh sb="58" eb="60">
      <t>センネツ</t>
    </rPh>
    <rPh sb="96" eb="99">
      <t>ガンスイリツ</t>
    </rPh>
    <phoneticPr fontId="2"/>
  </si>
  <si>
    <t>炉への投入熱量のため、
汚泥発熱量+補助燃料発熱量で算出</t>
    <phoneticPr fontId="2"/>
  </si>
  <si>
    <t>発電電力
(kW)</t>
    <rPh sb="0" eb="2">
      <t>ハツデン</t>
    </rPh>
    <rPh sb="2" eb="4">
      <t>デンリョク</t>
    </rPh>
    <phoneticPr fontId="2"/>
  </si>
  <si>
    <t>Y=33.1×投入熱量(GJ/h)-102</t>
    <rPh sb="7" eb="9">
      <t>トウニュウ</t>
    </rPh>
    <rPh sb="9" eb="11">
      <t>ネツリョウ</t>
    </rPh>
    <phoneticPr fontId="2"/>
  </si>
  <si>
    <t>発電電力量
(千kWh/年)</t>
    <rPh sb="0" eb="2">
      <t>ハツデン</t>
    </rPh>
    <rPh sb="2" eb="5">
      <t>デンリョクリョウ</t>
    </rPh>
    <rPh sb="7" eb="8">
      <t>セン</t>
    </rPh>
    <rPh sb="12" eb="13">
      <t>ネン</t>
    </rPh>
    <phoneticPr fontId="2"/>
  </si>
  <si>
    <r>
      <t>Y=発電電力(kW)×稼働日数(日/年)×24(h/日)×10</t>
    </r>
    <r>
      <rPr>
        <vertAlign val="superscript"/>
        <sz val="11"/>
        <color theme="1"/>
        <rFont val="游ゴシック"/>
        <family val="3"/>
        <charset val="128"/>
        <scheme val="minor"/>
      </rPr>
      <t>-3</t>
    </r>
    <rPh sb="2" eb="4">
      <t>ハツデン</t>
    </rPh>
    <rPh sb="4" eb="6">
      <t>デンリョク</t>
    </rPh>
    <rPh sb="11" eb="13">
      <t>カドウ</t>
    </rPh>
    <rPh sb="13" eb="15">
      <t>ニッスウ</t>
    </rPh>
    <rPh sb="16" eb="17">
      <t>ニチ</t>
    </rPh>
    <rPh sb="18" eb="19">
      <t>ネン</t>
    </rPh>
    <rPh sb="26" eb="27">
      <t>ヒ</t>
    </rPh>
    <phoneticPr fontId="2"/>
  </si>
  <si>
    <r>
      <t>※</t>
    </r>
    <r>
      <rPr>
        <sz val="11"/>
        <rFont val="游ゴシック"/>
        <family val="3"/>
        <charset val="128"/>
        <scheme val="minor"/>
      </rPr>
      <t>発電電力量（A）</t>
    </r>
    <rPh sb="1" eb="3">
      <t>ハツデン</t>
    </rPh>
    <rPh sb="3" eb="5">
      <t>デンリョク</t>
    </rPh>
    <rPh sb="5" eb="6">
      <t>リョウ</t>
    </rPh>
    <phoneticPr fontId="2"/>
  </si>
  <si>
    <r>
      <t>Y=発電電力量(千kWh/年)×単価(円/kWh)×10</t>
    </r>
    <r>
      <rPr>
        <vertAlign val="superscript"/>
        <sz val="11"/>
        <color theme="1"/>
        <rFont val="游ゴシック"/>
        <family val="3"/>
        <charset val="128"/>
        <scheme val="minor"/>
      </rPr>
      <t>-3</t>
    </r>
    <rPh sb="2" eb="4">
      <t>ハツデン</t>
    </rPh>
    <rPh sb="4" eb="7">
      <t>デンリョクリョウ</t>
    </rPh>
    <rPh sb="8" eb="9">
      <t>セン</t>
    </rPh>
    <rPh sb="13" eb="14">
      <t>ネン</t>
    </rPh>
    <rPh sb="16" eb="18">
      <t>タンカ</t>
    </rPh>
    <rPh sb="19" eb="20">
      <t>エン</t>
    </rPh>
    <phoneticPr fontId="2"/>
  </si>
  <si>
    <t>単価(円/kWh)</t>
    <rPh sb="0" eb="2">
      <t>タンカ</t>
    </rPh>
    <rPh sb="3" eb="4">
      <t>エン</t>
    </rPh>
    <phoneticPr fontId="2"/>
  </si>
  <si>
    <r>
      <t>薬品使用量
(m</t>
    </r>
    <r>
      <rPr>
        <vertAlign val="superscript"/>
        <sz val="11"/>
        <color theme="1"/>
        <rFont val="游ゴシック"/>
        <family val="3"/>
        <charset val="128"/>
        <scheme val="minor"/>
      </rPr>
      <t>3</t>
    </r>
    <r>
      <rPr>
        <sz val="11"/>
        <color theme="1"/>
        <rFont val="游ゴシック"/>
        <family val="2"/>
        <charset val="128"/>
        <scheme val="minor"/>
      </rPr>
      <t>/h)</t>
    </r>
    <rPh sb="0" eb="2">
      <t>ヤクヒン</t>
    </rPh>
    <rPh sb="2" eb="5">
      <t>シヨウリョウ</t>
    </rPh>
    <phoneticPr fontId="2"/>
  </si>
  <si>
    <t>Y=0.0150X+0.737</t>
    <phoneticPr fontId="2"/>
  </si>
  <si>
    <r>
      <t>Y=薬品使用量(m</t>
    </r>
    <r>
      <rPr>
        <vertAlign val="superscript"/>
        <sz val="11"/>
        <color theme="1"/>
        <rFont val="游ゴシック"/>
        <family val="3"/>
        <charset val="128"/>
        <scheme val="minor"/>
      </rPr>
      <t>3</t>
    </r>
    <r>
      <rPr>
        <sz val="11"/>
        <color theme="1"/>
        <rFont val="游ゴシック"/>
        <family val="2"/>
        <charset val="128"/>
        <scheme val="minor"/>
      </rPr>
      <t>/h)×単価(円/m</t>
    </r>
    <r>
      <rPr>
        <vertAlign val="superscript"/>
        <sz val="11"/>
        <color theme="1"/>
        <rFont val="游ゴシック"/>
        <family val="3"/>
        <charset val="128"/>
        <scheme val="minor"/>
      </rPr>
      <t>3</t>
    </r>
    <r>
      <rPr>
        <sz val="11"/>
        <color theme="1"/>
        <rFont val="游ゴシック"/>
        <family val="3"/>
        <charset val="128"/>
        <scheme val="minor"/>
      </rPr>
      <t>)</t>
    </r>
    <r>
      <rPr>
        <sz val="11"/>
        <color theme="1"/>
        <rFont val="游ゴシック"/>
        <family val="2"/>
        <charset val="128"/>
        <scheme val="minor"/>
      </rPr>
      <t>×稼働日数(日/年)×24(h/日)×10</t>
    </r>
    <r>
      <rPr>
        <vertAlign val="superscript"/>
        <sz val="11"/>
        <color theme="1"/>
        <rFont val="游ゴシック"/>
        <family val="3"/>
        <charset val="128"/>
        <scheme val="minor"/>
      </rPr>
      <t>-6</t>
    </r>
    <rPh sb="2" eb="4">
      <t>ヤクヒン</t>
    </rPh>
    <rPh sb="4" eb="7">
      <t>シヨウリョウ</t>
    </rPh>
    <rPh sb="14" eb="16">
      <t>タンカ</t>
    </rPh>
    <rPh sb="17" eb="18">
      <t>エン</t>
    </rPh>
    <rPh sb="23" eb="25">
      <t>カドウ</t>
    </rPh>
    <rPh sb="25" eb="27">
      <t>ニッスウ</t>
    </rPh>
    <rPh sb="28" eb="29">
      <t>ニチ</t>
    </rPh>
    <rPh sb="30" eb="31">
      <t>ネン</t>
    </rPh>
    <rPh sb="38" eb="39">
      <t>ヒ</t>
    </rPh>
    <phoneticPr fontId="2"/>
  </si>
  <si>
    <r>
      <t>単価</t>
    </r>
    <r>
      <rPr>
        <sz val="11"/>
        <color theme="1"/>
        <rFont val="游ゴシック"/>
        <family val="3"/>
        <charset val="128"/>
        <scheme val="minor"/>
      </rPr>
      <t>(</t>
    </r>
    <r>
      <rPr>
        <sz val="11"/>
        <color theme="1"/>
        <rFont val="游ゴシック"/>
        <family val="2"/>
        <charset val="128"/>
        <scheme val="minor"/>
      </rPr>
      <t>円/m</t>
    </r>
    <r>
      <rPr>
        <vertAlign val="superscript"/>
        <sz val="11"/>
        <color theme="1"/>
        <rFont val="游ゴシック"/>
        <family val="3"/>
        <charset val="128"/>
        <scheme val="minor"/>
      </rPr>
      <t>3</t>
    </r>
    <r>
      <rPr>
        <sz val="11"/>
        <color theme="1"/>
        <rFont val="游ゴシック"/>
        <family val="3"/>
        <charset val="128"/>
        <scheme val="minor"/>
      </rPr>
      <t>)</t>
    </r>
    <phoneticPr fontId="2"/>
  </si>
  <si>
    <t>維持管理費(上水費)</t>
    <rPh sb="0" eb="2">
      <t>イジ</t>
    </rPh>
    <rPh sb="2" eb="5">
      <t>カンリヒ</t>
    </rPh>
    <rPh sb="6" eb="8">
      <t>ジョウスイ</t>
    </rPh>
    <rPh sb="8" eb="9">
      <t>ヒ</t>
    </rPh>
    <phoneticPr fontId="2"/>
  </si>
  <si>
    <r>
      <t>上水使用量
(m</t>
    </r>
    <r>
      <rPr>
        <vertAlign val="superscript"/>
        <sz val="11"/>
        <color theme="1"/>
        <rFont val="游ゴシック"/>
        <family val="3"/>
        <charset val="128"/>
        <scheme val="minor"/>
      </rPr>
      <t>3</t>
    </r>
    <r>
      <rPr>
        <sz val="11"/>
        <color theme="1"/>
        <rFont val="游ゴシック"/>
        <family val="2"/>
        <charset val="128"/>
        <scheme val="minor"/>
      </rPr>
      <t>/日)</t>
    </r>
    <rPh sb="0" eb="2">
      <t>ジョウスイ</t>
    </rPh>
    <rPh sb="2" eb="5">
      <t>シヨウリョウ</t>
    </rPh>
    <rPh sb="10" eb="11">
      <t>ヒ</t>
    </rPh>
    <phoneticPr fontId="2"/>
  </si>
  <si>
    <t>Y=0.0274X+1.35</t>
    <phoneticPr fontId="2"/>
  </si>
  <si>
    <r>
      <t>Y=上水使用量(m</t>
    </r>
    <r>
      <rPr>
        <vertAlign val="superscript"/>
        <sz val="11"/>
        <color theme="1"/>
        <rFont val="游ゴシック"/>
        <family val="3"/>
        <charset val="128"/>
        <scheme val="minor"/>
      </rPr>
      <t>3</t>
    </r>
    <r>
      <rPr>
        <sz val="11"/>
        <color theme="1"/>
        <rFont val="游ゴシック"/>
        <family val="2"/>
        <charset val="128"/>
        <scheme val="minor"/>
      </rPr>
      <t>/日)×単価(円/m</t>
    </r>
    <r>
      <rPr>
        <vertAlign val="superscript"/>
        <sz val="11"/>
        <color theme="1"/>
        <rFont val="游ゴシック"/>
        <family val="3"/>
        <charset val="128"/>
        <scheme val="minor"/>
      </rPr>
      <t>3</t>
    </r>
    <r>
      <rPr>
        <sz val="11"/>
        <color theme="1"/>
        <rFont val="游ゴシック"/>
        <family val="2"/>
        <charset val="128"/>
        <scheme val="minor"/>
      </rPr>
      <t>)×稼働日数(日/年)×10</t>
    </r>
    <r>
      <rPr>
        <vertAlign val="superscript"/>
        <sz val="11"/>
        <color theme="1"/>
        <rFont val="游ゴシック"/>
        <family val="3"/>
        <charset val="128"/>
        <scheme val="minor"/>
      </rPr>
      <t>-6</t>
    </r>
    <rPh sb="2" eb="4">
      <t>ジョウスイ</t>
    </rPh>
    <rPh sb="4" eb="7">
      <t>シヨウリョウ</t>
    </rPh>
    <rPh sb="11" eb="12">
      <t>ヒ</t>
    </rPh>
    <rPh sb="14" eb="16">
      <t>タンカ</t>
    </rPh>
    <rPh sb="17" eb="18">
      <t>エン</t>
    </rPh>
    <rPh sb="23" eb="25">
      <t>カドウ</t>
    </rPh>
    <rPh sb="25" eb="27">
      <t>ニッスウ</t>
    </rPh>
    <rPh sb="28" eb="29">
      <t>ニチ</t>
    </rPh>
    <rPh sb="30" eb="31">
      <t>ネン</t>
    </rPh>
    <phoneticPr fontId="2"/>
  </si>
  <si>
    <r>
      <t>単価(円/m</t>
    </r>
    <r>
      <rPr>
        <vertAlign val="superscript"/>
        <sz val="11"/>
        <color theme="1"/>
        <rFont val="游ゴシック"/>
        <family val="3"/>
        <charset val="128"/>
        <scheme val="minor"/>
      </rPr>
      <t>3</t>
    </r>
    <r>
      <rPr>
        <sz val="11"/>
        <color theme="1"/>
        <rFont val="游ゴシック"/>
        <family val="2"/>
        <charset val="128"/>
        <scheme val="minor"/>
      </rPr>
      <t>)</t>
    </r>
    <phoneticPr fontId="2"/>
  </si>
  <si>
    <t>⑰</t>
    <phoneticPr fontId="2"/>
  </si>
  <si>
    <t>⑱：⑬＋⑭＋⑮＋⑯＋⑰</t>
    <phoneticPr fontId="2"/>
  </si>
  <si>
    <t>その他導入効果(白防設備停止)
(点検整備費用)</t>
    <rPh sb="2" eb="3">
      <t>タ</t>
    </rPh>
    <rPh sb="3" eb="5">
      <t>ドウニュウ</t>
    </rPh>
    <rPh sb="5" eb="7">
      <t>コウカ</t>
    </rPh>
    <rPh sb="8" eb="9">
      <t>ハク</t>
    </rPh>
    <rPh sb="9" eb="10">
      <t>ボウ</t>
    </rPh>
    <rPh sb="10" eb="12">
      <t>セツビ</t>
    </rPh>
    <rPh sb="12" eb="14">
      <t>テイシ</t>
    </rPh>
    <rPh sb="17" eb="19">
      <t>テンケン</t>
    </rPh>
    <rPh sb="19" eb="21">
      <t>セイビ</t>
    </rPh>
    <rPh sb="21" eb="23">
      <t>ヒヨウ</t>
    </rPh>
    <phoneticPr fontId="2"/>
  </si>
  <si>
    <r>
      <t>Y=0.131X</t>
    </r>
    <r>
      <rPr>
        <vertAlign val="superscript"/>
        <sz val="11"/>
        <color theme="1"/>
        <rFont val="游ゴシック"/>
        <family val="3"/>
        <charset val="128"/>
        <scheme val="minor"/>
      </rPr>
      <t>0.7</t>
    </r>
    <phoneticPr fontId="2"/>
  </si>
  <si>
    <t>⑲、X：汚泥投入量(wet-t/日)</t>
    <rPh sb="4" eb="6">
      <t>オデイ</t>
    </rPh>
    <rPh sb="6" eb="9">
      <t>トウニュウリョウ</t>
    </rPh>
    <phoneticPr fontId="2"/>
  </si>
  <si>
    <t>その他導入効果(白防設備停止)
(更新費用)</t>
    <rPh sb="2" eb="3">
      <t>タ</t>
    </rPh>
    <rPh sb="3" eb="5">
      <t>ドウニュウ</t>
    </rPh>
    <rPh sb="5" eb="7">
      <t>コウカ</t>
    </rPh>
    <rPh sb="8" eb="9">
      <t>ハク</t>
    </rPh>
    <rPh sb="9" eb="10">
      <t>ボウ</t>
    </rPh>
    <rPh sb="10" eb="12">
      <t>セツビ</t>
    </rPh>
    <rPh sb="12" eb="14">
      <t>テイシ</t>
    </rPh>
    <rPh sb="17" eb="19">
      <t>コウシン</t>
    </rPh>
    <rPh sb="19" eb="21">
      <t>ヒヨウ</t>
    </rPh>
    <phoneticPr fontId="2"/>
  </si>
  <si>
    <r>
      <t>Y=0.998X</t>
    </r>
    <r>
      <rPr>
        <vertAlign val="superscript"/>
        <sz val="11"/>
        <color theme="1"/>
        <rFont val="游ゴシック"/>
        <family val="3"/>
        <charset val="128"/>
        <scheme val="minor"/>
      </rPr>
      <t>0.7</t>
    </r>
    <phoneticPr fontId="2"/>
  </si>
  <si>
    <t>⑳、X：汚泥投入量(wet-t/日)</t>
    <rPh sb="4" eb="6">
      <t>オデイ</t>
    </rPh>
    <rPh sb="6" eb="9">
      <t>トウニュウリョウ</t>
    </rPh>
    <phoneticPr fontId="2"/>
  </si>
  <si>
    <t>その他導入効果(白防設備停止)
(消費電力)</t>
    <rPh sb="2" eb="3">
      <t>タ</t>
    </rPh>
    <rPh sb="3" eb="5">
      <t>ドウニュウ</t>
    </rPh>
    <rPh sb="5" eb="7">
      <t>コウカ</t>
    </rPh>
    <rPh sb="8" eb="9">
      <t>ハク</t>
    </rPh>
    <rPh sb="9" eb="10">
      <t>ボウ</t>
    </rPh>
    <rPh sb="10" eb="12">
      <t>セツビ</t>
    </rPh>
    <rPh sb="12" eb="14">
      <t>テイシ</t>
    </rPh>
    <rPh sb="17" eb="19">
      <t>ショウヒ</t>
    </rPh>
    <rPh sb="19" eb="21">
      <t>デンリョク</t>
    </rPh>
    <phoneticPr fontId="2"/>
  </si>
  <si>
    <t>消費電力量
(kWh/年)</t>
    <rPh sb="0" eb="2">
      <t>ショウヒ</t>
    </rPh>
    <rPh sb="2" eb="5">
      <t>デンリョクリョウ</t>
    </rPh>
    <rPh sb="11" eb="12">
      <t>ネン</t>
    </rPh>
    <phoneticPr fontId="2"/>
  </si>
  <si>
    <t>Y＝(0.213X+10.5)×稼働日数(日/年)×24(h/日)</t>
    <rPh sb="16" eb="18">
      <t>カドウ</t>
    </rPh>
    <rPh sb="18" eb="20">
      <t>ニッスウ</t>
    </rPh>
    <rPh sb="21" eb="22">
      <t>ニチ</t>
    </rPh>
    <rPh sb="23" eb="24">
      <t>ネン</t>
    </rPh>
    <rPh sb="31" eb="32">
      <t>ヒ</t>
    </rPh>
    <phoneticPr fontId="2"/>
  </si>
  <si>
    <t>X：汚泥投入量(wet-t/日)</t>
    <rPh sb="2" eb="4">
      <t>オデイ</t>
    </rPh>
    <rPh sb="4" eb="7">
      <t>トウニュウリョウ</t>
    </rPh>
    <phoneticPr fontId="2"/>
  </si>
  <si>
    <t>稼働日数(日/年)</t>
    <rPh sb="0" eb="2">
      <t>カドウ</t>
    </rPh>
    <rPh sb="2" eb="4">
      <t>ニッスウ</t>
    </rPh>
    <rPh sb="5" eb="6">
      <t>ニチ</t>
    </rPh>
    <rPh sb="7" eb="8">
      <t>ネン</t>
    </rPh>
    <phoneticPr fontId="2"/>
  </si>
  <si>
    <r>
      <t>Y=消費電力量(kWh/年)×単価(円/kWh)×10</t>
    </r>
    <r>
      <rPr>
        <vertAlign val="superscript"/>
        <sz val="11"/>
        <color theme="1"/>
        <rFont val="游ゴシック"/>
        <family val="3"/>
        <charset val="128"/>
        <scheme val="minor"/>
      </rPr>
      <t>-6</t>
    </r>
    <rPh sb="2" eb="4">
      <t>ショウヒ</t>
    </rPh>
    <rPh sb="4" eb="7">
      <t>デンリョクリョウ</t>
    </rPh>
    <rPh sb="12" eb="13">
      <t>ネン</t>
    </rPh>
    <rPh sb="15" eb="17">
      <t>タンカ</t>
    </rPh>
    <rPh sb="18" eb="19">
      <t>エン</t>
    </rPh>
    <phoneticPr fontId="2"/>
  </si>
  <si>
    <t>その他導入効果合計</t>
    <rPh sb="2" eb="3">
      <t>タ</t>
    </rPh>
    <rPh sb="3" eb="5">
      <t>ドウニュウ</t>
    </rPh>
    <rPh sb="5" eb="7">
      <t>コウカ</t>
    </rPh>
    <rPh sb="7" eb="9">
      <t>ゴウケイ</t>
    </rPh>
    <phoneticPr fontId="2"/>
  </si>
  <si>
    <t>㉒：⑲＋⑳＋㉑</t>
    <phoneticPr fontId="2"/>
  </si>
  <si>
    <t>革新的技術建設費年価(焼却設備(従来技術)含む)</t>
    <rPh sb="0" eb="3">
      <t>カクシンテキ</t>
    </rPh>
    <rPh sb="3" eb="5">
      <t>ギジュツ</t>
    </rPh>
    <rPh sb="5" eb="8">
      <t>ケンセツヒ</t>
    </rPh>
    <rPh sb="8" eb="10">
      <t>ネンカ</t>
    </rPh>
    <rPh sb="11" eb="13">
      <t>ショウキャク</t>
    </rPh>
    <rPh sb="13" eb="15">
      <t>セツビ</t>
    </rPh>
    <rPh sb="16" eb="18">
      <t>ジュウライ</t>
    </rPh>
    <rPh sb="18" eb="20">
      <t>ギジュツ</t>
    </rPh>
    <rPh sb="21" eb="22">
      <t>フク</t>
    </rPh>
    <phoneticPr fontId="2"/>
  </si>
  <si>
    <t>㉓：⑤＋⑫</t>
    <phoneticPr fontId="2"/>
  </si>
  <si>
    <t>革新的技術維持管理費(焼却設備(従来技術)含む)</t>
    <rPh sb="0" eb="3">
      <t>カクシンテキ</t>
    </rPh>
    <rPh sb="3" eb="5">
      <t>ギジュツ</t>
    </rPh>
    <rPh sb="5" eb="7">
      <t>イジ</t>
    </rPh>
    <rPh sb="7" eb="10">
      <t>カンリヒ</t>
    </rPh>
    <rPh sb="11" eb="13">
      <t>ショウキャク</t>
    </rPh>
    <rPh sb="13" eb="15">
      <t>セツビ</t>
    </rPh>
    <rPh sb="16" eb="18">
      <t>ジュウライ</t>
    </rPh>
    <rPh sb="18" eb="20">
      <t>ギジュツ</t>
    </rPh>
    <rPh sb="21" eb="22">
      <t>フク</t>
    </rPh>
    <phoneticPr fontId="2"/>
  </si>
  <si>
    <t>㉔：⑥＋⑱＋㉒</t>
    <phoneticPr fontId="2"/>
  </si>
  <si>
    <t>総費用(年価換算値)(焼却設備(従来技術)含む)</t>
    <rPh sb="0" eb="3">
      <t>ソウヒヨウ</t>
    </rPh>
    <rPh sb="4" eb="5">
      <t>トシ</t>
    </rPh>
    <rPh sb="5" eb="6">
      <t>アタイ</t>
    </rPh>
    <rPh sb="6" eb="8">
      <t>カンサン</t>
    </rPh>
    <rPh sb="8" eb="9">
      <t>アタイ</t>
    </rPh>
    <phoneticPr fontId="2"/>
  </si>
  <si>
    <t>b：㉓＋㉔</t>
    <phoneticPr fontId="2"/>
  </si>
  <si>
    <t>費用回収年</t>
    <rPh sb="0" eb="2">
      <t>ヒヨウ</t>
    </rPh>
    <rPh sb="2" eb="4">
      <t>カイシュウ</t>
    </rPh>
    <rPh sb="4" eb="5">
      <t>ネン</t>
    </rPh>
    <phoneticPr fontId="2"/>
  </si>
  <si>
    <t>建設費</t>
    <rPh sb="0" eb="3">
      <t>ケンセツヒ</t>
    </rPh>
    <phoneticPr fontId="2"/>
  </si>
  <si>
    <t>百万円</t>
    <rPh sb="0" eb="1">
      <t>ヒャク</t>
    </rPh>
    <rPh sb="1" eb="3">
      <t>マンエン</t>
    </rPh>
    <phoneticPr fontId="2"/>
  </si>
  <si>
    <t>a：⑪</t>
    <phoneticPr fontId="2"/>
  </si>
  <si>
    <t>革新的技術の維持管理費</t>
    <rPh sb="0" eb="2">
      <t>カクシン</t>
    </rPh>
    <rPh sb="2" eb="3">
      <t>テキ</t>
    </rPh>
    <rPh sb="3" eb="5">
      <t>ギジュツ</t>
    </rPh>
    <rPh sb="6" eb="8">
      <t>イジ</t>
    </rPh>
    <rPh sb="8" eb="11">
      <t>カンリヒ</t>
    </rPh>
    <phoneticPr fontId="2"/>
  </si>
  <si>
    <t>百万円/年</t>
    <rPh sb="0" eb="1">
      <t>ヒャク</t>
    </rPh>
    <rPh sb="1" eb="3">
      <t>マンエン</t>
    </rPh>
    <rPh sb="4" eb="5">
      <t>ネン</t>
    </rPh>
    <phoneticPr fontId="2"/>
  </si>
  <si>
    <t>b：⑮＋⑯＋⑰</t>
    <phoneticPr fontId="2"/>
  </si>
  <si>
    <t>導入効果</t>
    <rPh sb="0" eb="2">
      <t>ドウニュウ</t>
    </rPh>
    <rPh sb="2" eb="4">
      <t>コウカ</t>
    </rPh>
    <phoneticPr fontId="2"/>
  </si>
  <si>
    <t>電力費削減、その他効果</t>
    <rPh sb="0" eb="2">
      <t>デンリョク</t>
    </rPh>
    <rPh sb="2" eb="3">
      <t>ヒ</t>
    </rPh>
    <rPh sb="3" eb="5">
      <t>サクゲン</t>
    </rPh>
    <rPh sb="8" eb="9">
      <t>タ</t>
    </rPh>
    <rPh sb="9" eb="11">
      <t>コウカ</t>
    </rPh>
    <phoneticPr fontId="2"/>
  </si>
  <si>
    <t>c：⑬＋⑭＋⑲＋⑳＋㉑</t>
    <phoneticPr fontId="2"/>
  </si>
  <si>
    <t>年</t>
    <rPh sb="0" eb="1">
      <t>ネン</t>
    </rPh>
    <phoneticPr fontId="2"/>
  </si>
  <si>
    <t xml:space="preserve"> -a/(c+b）</t>
    <phoneticPr fontId="2"/>
  </si>
  <si>
    <r>
      <t>Y=(1.12X＋266)×稼働日数(日/年)×24(h/日)×10</t>
    </r>
    <r>
      <rPr>
        <vertAlign val="superscript"/>
        <sz val="11"/>
        <rFont val="游ゴシック"/>
        <family val="3"/>
        <charset val="128"/>
        <scheme val="minor"/>
      </rPr>
      <t>-3</t>
    </r>
    <rPh sb="14" eb="16">
      <t>カドウ</t>
    </rPh>
    <rPh sb="16" eb="18">
      <t>ニッスウ</t>
    </rPh>
    <rPh sb="19" eb="20">
      <t>ヒ</t>
    </rPh>
    <rPh sb="21" eb="22">
      <t>ネン</t>
    </rPh>
    <rPh sb="29" eb="30">
      <t>ヒ</t>
    </rPh>
    <phoneticPr fontId="2"/>
  </si>
  <si>
    <t>①、X：汚泥投入量(wet-t/日)</t>
    <rPh sb="4" eb="6">
      <t>オデイ</t>
    </rPh>
    <rPh sb="6" eb="9">
      <t>トウニュウリョウ</t>
    </rPh>
    <phoneticPr fontId="2"/>
  </si>
  <si>
    <r>
      <t>Y=補助燃料使用量(m</t>
    </r>
    <r>
      <rPr>
        <vertAlign val="superscript"/>
        <sz val="10"/>
        <rFont val="游ゴシック"/>
        <family val="3"/>
        <charset val="128"/>
        <scheme val="minor"/>
      </rPr>
      <t>3</t>
    </r>
    <r>
      <rPr>
        <sz val="10"/>
        <rFont val="游ゴシック"/>
        <family val="3"/>
        <charset val="128"/>
        <scheme val="minor"/>
      </rPr>
      <t>/h or L/h)×稼働日数(日/年)×24(h/日)×補助燃料エネルギー原単位(MJ/m</t>
    </r>
    <r>
      <rPr>
        <vertAlign val="superscript"/>
        <sz val="10"/>
        <rFont val="游ゴシック"/>
        <family val="3"/>
        <charset val="128"/>
        <scheme val="minor"/>
      </rPr>
      <t>3</t>
    </r>
    <r>
      <rPr>
        <sz val="10"/>
        <rFont val="游ゴシック"/>
        <family val="3"/>
        <charset val="128"/>
        <scheme val="minor"/>
      </rPr>
      <t xml:space="preserve"> or L)×10</t>
    </r>
    <r>
      <rPr>
        <vertAlign val="superscript"/>
        <sz val="10"/>
        <rFont val="游ゴシック"/>
        <family val="3"/>
        <charset val="128"/>
        <scheme val="minor"/>
      </rPr>
      <t>-3</t>
    </r>
    <r>
      <rPr>
        <sz val="10"/>
        <rFont val="游ゴシック"/>
        <family val="3"/>
        <charset val="128"/>
        <scheme val="minor"/>
      </rPr>
      <t>×換算係数(kWh/MJ)</t>
    </r>
    <rPh sb="2" eb="4">
      <t>ホジョ</t>
    </rPh>
    <rPh sb="4" eb="6">
      <t>ネンリョウ</t>
    </rPh>
    <rPh sb="6" eb="9">
      <t>シヨウリョウ</t>
    </rPh>
    <rPh sb="23" eb="25">
      <t>カドウ</t>
    </rPh>
    <rPh sb="25" eb="27">
      <t>ニッスウ</t>
    </rPh>
    <rPh sb="28" eb="29">
      <t>ニチ</t>
    </rPh>
    <rPh sb="30" eb="31">
      <t>ネン</t>
    </rPh>
    <rPh sb="38" eb="39">
      <t>ニチ</t>
    </rPh>
    <rPh sb="41" eb="43">
      <t>ホジョ</t>
    </rPh>
    <rPh sb="43" eb="45">
      <t>ネンリョウ</t>
    </rPh>
    <rPh sb="50" eb="53">
      <t>ゲンタンイ</t>
    </rPh>
    <rPh sb="71" eb="73">
      <t>カンサン</t>
    </rPh>
    <rPh sb="73" eb="75">
      <t>ケイスウ</t>
    </rPh>
    <phoneticPr fontId="2"/>
  </si>
  <si>
    <t>換算係数
(kWh/MJ)</t>
    <rPh sb="0" eb="2">
      <t>カンサン</t>
    </rPh>
    <rPh sb="2" eb="4">
      <t>ケイスウ</t>
    </rPh>
    <phoneticPr fontId="2"/>
  </si>
  <si>
    <t>③：①+②　※消費電力量（B）</t>
    <rPh sb="7" eb="9">
      <t>ショウヒ</t>
    </rPh>
    <rPh sb="9" eb="12">
      <t>デンリョクリョウ</t>
    </rPh>
    <phoneticPr fontId="2"/>
  </si>
  <si>
    <t>発電、局所攪拌設備
(焼却設備含む)</t>
    <rPh sb="0" eb="2">
      <t>ハツデン</t>
    </rPh>
    <rPh sb="3" eb="5">
      <t>キョクショ</t>
    </rPh>
    <rPh sb="5" eb="7">
      <t>カクハン</t>
    </rPh>
    <rPh sb="7" eb="9">
      <t>セツビ</t>
    </rPh>
    <rPh sb="11" eb="13">
      <t>ショウキャク</t>
    </rPh>
    <rPh sb="13" eb="15">
      <t>セツビ</t>
    </rPh>
    <rPh sb="15" eb="16">
      <t>フク</t>
    </rPh>
    <phoneticPr fontId="2"/>
  </si>
  <si>
    <t>消費電力量(焼却設備含む)</t>
    <rPh sb="0" eb="2">
      <t>ショウヒ</t>
    </rPh>
    <rPh sb="2" eb="4">
      <t>デンリョク</t>
    </rPh>
    <rPh sb="4" eb="5">
      <t>リョウ</t>
    </rPh>
    <phoneticPr fontId="2"/>
  </si>
  <si>
    <t>消費電力
(ｋW)</t>
    <rPh sb="0" eb="2">
      <t>ショウヒ</t>
    </rPh>
    <rPh sb="2" eb="4">
      <t>デンリョク</t>
    </rPh>
    <phoneticPr fontId="2"/>
  </si>
  <si>
    <t>Y=(1.12X＋266)＋(0.119X+65.1)-(0.213X+10.462)</t>
    <phoneticPr fontId="2"/>
  </si>
  <si>
    <t>X：汚泥投入量(wet-t/日)</t>
    <phoneticPr fontId="2"/>
  </si>
  <si>
    <r>
      <t>Y=消費電力(kW)×稼働日数(日/年)×24(h/日)×10</t>
    </r>
    <r>
      <rPr>
        <vertAlign val="superscript"/>
        <sz val="11"/>
        <rFont val="游ゴシック"/>
        <family val="3"/>
        <charset val="128"/>
        <scheme val="minor"/>
      </rPr>
      <t>-3</t>
    </r>
    <rPh sb="2" eb="4">
      <t>ショウヒ</t>
    </rPh>
    <rPh sb="4" eb="6">
      <t>デンリョク</t>
    </rPh>
    <rPh sb="11" eb="13">
      <t>カドウ</t>
    </rPh>
    <rPh sb="13" eb="15">
      <t>ニッスウ</t>
    </rPh>
    <rPh sb="16" eb="17">
      <t>ヒ</t>
    </rPh>
    <rPh sb="18" eb="19">
      <t>ネン</t>
    </rPh>
    <rPh sb="26" eb="27">
      <t>ヒ</t>
    </rPh>
    <phoneticPr fontId="2"/>
  </si>
  <si>
    <t>補助燃料使用によるエネルギー消費量</t>
    <rPh sb="0" eb="4">
      <t>ホジョネンリョウ</t>
    </rPh>
    <rPh sb="4" eb="6">
      <t>シヨウ</t>
    </rPh>
    <rPh sb="14" eb="17">
      <t>ショウヒリョウ</t>
    </rPh>
    <phoneticPr fontId="2"/>
  </si>
  <si>
    <r>
      <t>Y=補助燃料使用量(m</t>
    </r>
    <r>
      <rPr>
        <vertAlign val="superscript"/>
        <sz val="10"/>
        <rFont val="游ゴシック"/>
        <family val="3"/>
        <charset val="128"/>
        <scheme val="minor"/>
      </rPr>
      <t>3</t>
    </r>
    <r>
      <rPr>
        <sz val="10"/>
        <rFont val="游ゴシック"/>
        <family val="3"/>
        <charset val="128"/>
        <scheme val="minor"/>
      </rPr>
      <t xml:space="preserve"> or L/h)×稼働日数(日/年)×24(h/日)×補助燃料エネルギー原単位(MJ/m</t>
    </r>
    <r>
      <rPr>
        <vertAlign val="superscript"/>
        <sz val="10"/>
        <rFont val="游ゴシック"/>
        <family val="3"/>
        <charset val="128"/>
        <scheme val="minor"/>
      </rPr>
      <t>3</t>
    </r>
    <r>
      <rPr>
        <sz val="10"/>
        <rFont val="游ゴシック"/>
        <family val="3"/>
        <charset val="128"/>
        <scheme val="minor"/>
      </rPr>
      <t xml:space="preserve"> or MJ/L)×10</t>
    </r>
    <r>
      <rPr>
        <vertAlign val="superscript"/>
        <sz val="10"/>
        <rFont val="游ゴシック"/>
        <family val="3"/>
        <charset val="128"/>
        <scheme val="minor"/>
      </rPr>
      <t>-3</t>
    </r>
    <r>
      <rPr>
        <sz val="10"/>
        <rFont val="游ゴシック"/>
        <family val="3"/>
        <charset val="128"/>
        <scheme val="minor"/>
      </rPr>
      <t>×換算係数(kWh/MJ)</t>
    </r>
    <rPh sb="2" eb="4">
      <t>ホジョ</t>
    </rPh>
    <rPh sb="4" eb="6">
      <t>ネンリョウ</t>
    </rPh>
    <rPh sb="6" eb="9">
      <t>シヨウリョウ</t>
    </rPh>
    <rPh sb="21" eb="23">
      <t>カドウ</t>
    </rPh>
    <rPh sb="23" eb="25">
      <t>ニッスウ</t>
    </rPh>
    <rPh sb="26" eb="27">
      <t>ニチ</t>
    </rPh>
    <rPh sb="28" eb="29">
      <t>ネン</t>
    </rPh>
    <rPh sb="36" eb="37">
      <t>ニチ</t>
    </rPh>
    <rPh sb="39" eb="41">
      <t>ホジョ</t>
    </rPh>
    <rPh sb="41" eb="43">
      <t>ネンリョウ</t>
    </rPh>
    <rPh sb="48" eb="51">
      <t>ゲンタンイ</t>
    </rPh>
    <rPh sb="72" eb="74">
      <t>カンサン</t>
    </rPh>
    <rPh sb="74" eb="76">
      <t>ケイスウ</t>
    </rPh>
    <phoneticPr fontId="2"/>
  </si>
  <si>
    <t>⑥：④+⑤ 　※消費電力量（C）</t>
    <rPh sb="8" eb="10">
      <t>ショウヒ</t>
    </rPh>
    <rPh sb="10" eb="13">
      <t>デンリョクリョウ</t>
    </rPh>
    <phoneticPr fontId="2"/>
  </si>
  <si>
    <r>
      <t>Y=発電電力(kW)×稼働日数(日/年)×24(h/日)×10</t>
    </r>
    <r>
      <rPr>
        <vertAlign val="superscript"/>
        <sz val="11"/>
        <rFont val="游ゴシック"/>
        <family val="3"/>
        <charset val="128"/>
        <scheme val="minor"/>
      </rPr>
      <t>-3</t>
    </r>
    <rPh sb="2" eb="4">
      <t>ハツデン</t>
    </rPh>
    <rPh sb="4" eb="6">
      <t>デンリョク</t>
    </rPh>
    <rPh sb="11" eb="13">
      <t>カドウ</t>
    </rPh>
    <rPh sb="13" eb="15">
      <t>ニッスウ</t>
    </rPh>
    <rPh sb="16" eb="17">
      <t>ヒ</t>
    </rPh>
    <rPh sb="18" eb="19">
      <t>ネン</t>
    </rPh>
    <rPh sb="26" eb="27">
      <t>ニチ</t>
    </rPh>
    <phoneticPr fontId="2"/>
  </si>
  <si>
    <t>⑧：{1-(⑥－⑦)/③}×100</t>
    <phoneticPr fontId="2"/>
  </si>
  <si>
    <t>④：①＋②+③</t>
    <phoneticPr fontId="2"/>
  </si>
  <si>
    <t>消費電力由来GHG排出量(焼却設備含む)</t>
    <rPh sb="0" eb="2">
      <t>ショウヒ</t>
    </rPh>
    <rPh sb="2" eb="4">
      <t>デンリョク</t>
    </rPh>
    <rPh sb="4" eb="6">
      <t>ユライ</t>
    </rPh>
    <rPh sb="9" eb="12">
      <t>ハイシュツリョウ</t>
    </rPh>
    <phoneticPr fontId="2"/>
  </si>
  <si>
    <r>
      <t>Y=0.000232(t-N</t>
    </r>
    <r>
      <rPr>
        <vertAlign val="subscript"/>
        <sz val="11"/>
        <color theme="1"/>
        <rFont val="游ゴシック"/>
        <family val="3"/>
        <charset val="128"/>
        <scheme val="minor"/>
      </rPr>
      <t>2</t>
    </r>
    <r>
      <rPr>
        <sz val="11"/>
        <color theme="1"/>
        <rFont val="游ゴシック"/>
        <family val="2"/>
        <charset val="128"/>
        <scheme val="minor"/>
      </rPr>
      <t>O/wet-t)X×稼働日数(日/年)</t>
    </r>
    <rPh sb="25" eb="27">
      <t>カドウ</t>
    </rPh>
    <rPh sb="27" eb="29">
      <t>ニッスウ</t>
    </rPh>
    <rPh sb="30" eb="31">
      <t>ヒ</t>
    </rPh>
    <rPh sb="32" eb="33">
      <t>ネン</t>
    </rPh>
    <phoneticPr fontId="2"/>
  </si>
  <si>
    <t>X：汚泥投入量（wet-t/日）</t>
    <phoneticPr fontId="2"/>
  </si>
  <si>
    <t>⑨：⑤＋⑥＋⑦＋⑧</t>
    <phoneticPr fontId="2"/>
  </si>
  <si>
    <t>⑩：(1－⑨/④)×100</t>
    <phoneticPr fontId="2"/>
  </si>
  <si>
    <t>　費用を算出する場合非表示になっている36~92を再表示させて下さい</t>
    <rPh sb="1" eb="3">
      <t>ヒヨウ</t>
    </rPh>
    <rPh sb="4" eb="6">
      <t>サンシュツ</t>
    </rPh>
    <rPh sb="8" eb="10">
      <t>バアイ</t>
    </rPh>
    <rPh sb="10" eb="13">
      <t>ヒヒョウジ</t>
    </rPh>
    <rPh sb="25" eb="26">
      <t>サイ</t>
    </rPh>
    <rPh sb="26" eb="28">
      <t>ヒョウジ</t>
    </rPh>
    <rPh sb="31" eb="32">
      <t>クダ</t>
    </rPh>
    <phoneticPr fontId="2"/>
  </si>
  <si>
    <t>汚泥焼却設備、廃熱発電設備</t>
    <phoneticPr fontId="2"/>
  </si>
  <si>
    <t>日平均汚水量10,000m³/日までの処理場</t>
    <rPh sb="0" eb="3">
      <t>ニチヘイキン</t>
    </rPh>
    <rPh sb="3" eb="6">
      <t>オスイリョウ</t>
    </rPh>
    <rPh sb="15" eb="16">
      <t>ニチ</t>
    </rPh>
    <rPh sb="19" eb="22">
      <t>ショリジョウ</t>
    </rPh>
    <phoneticPr fontId="2"/>
  </si>
  <si>
    <t>【B－DASH】低コスト・省エネルギー型高濃度メタン発酵技術</t>
    <phoneticPr fontId="2"/>
  </si>
  <si>
    <t>諸元値</t>
    <rPh sb="0" eb="2">
      <t>ショゲン</t>
    </rPh>
    <rPh sb="2" eb="3">
      <t>アタイ</t>
    </rPh>
    <phoneticPr fontId="43"/>
  </si>
  <si>
    <t>従来技術</t>
    <rPh sb="0" eb="2">
      <t>ジュウライ</t>
    </rPh>
    <rPh sb="2" eb="4">
      <t>ギジュツ</t>
    </rPh>
    <phoneticPr fontId="43"/>
  </si>
  <si>
    <t>日最大発生汚泥量</t>
    <rPh sb="0" eb="1">
      <t>ニチ</t>
    </rPh>
    <rPh sb="1" eb="3">
      <t>サイダイ</t>
    </rPh>
    <rPh sb="3" eb="5">
      <t>ハッセイ</t>
    </rPh>
    <rPh sb="5" eb="7">
      <t>オデイ</t>
    </rPh>
    <rPh sb="7" eb="8">
      <t>リョウ</t>
    </rPh>
    <phoneticPr fontId="43"/>
  </si>
  <si>
    <r>
      <t>m</t>
    </r>
    <r>
      <rPr>
        <vertAlign val="superscript"/>
        <sz val="11"/>
        <color theme="1"/>
        <rFont val="ＭＳ Ｐゴシック"/>
        <family val="3"/>
        <charset val="128"/>
      </rPr>
      <t>3</t>
    </r>
    <r>
      <rPr>
        <sz val="11"/>
        <color theme="1"/>
        <rFont val="游ゴシック"/>
        <family val="2"/>
        <charset val="128"/>
        <scheme val="minor"/>
      </rPr>
      <t>/日</t>
    </r>
    <rPh sb="3" eb="4">
      <t>ニチ</t>
    </rPh>
    <phoneticPr fontId="43"/>
  </si>
  <si>
    <t>Qd0</t>
    <phoneticPr fontId="43"/>
  </si>
  <si>
    <t>1％換算</t>
    <rPh sb="2" eb="4">
      <t>カンザン</t>
    </rPh>
    <phoneticPr fontId="43"/>
  </si>
  <si>
    <r>
      <t>【試算条件】
（原料汚泥）
　・日最大と日平均の発生汚泥量比率　1：0.8
　・重力濃縮と機械濃縮の固形分比率　1：1
　・汚泥VTS：0.8
（回収率）
　・濃縮回収率（従来）：90％
　・高濃度濃縮回収率（革新）：95％
　・脱水回収率（従来、革新共通）：90％
（消化性能）
　・消化槽でのVS分解率：55％
　・バイオガス発生量：500 Nm</t>
    </r>
    <r>
      <rPr>
        <vertAlign val="superscript"/>
        <sz val="8"/>
        <color theme="1"/>
        <rFont val="ＭＳ Ｐゴシック"/>
        <family val="3"/>
        <charset val="128"/>
      </rPr>
      <t>3</t>
    </r>
    <r>
      <rPr>
        <sz val="8"/>
        <color theme="1"/>
        <rFont val="ＭＳ Ｐゴシック"/>
        <family val="3"/>
        <charset val="128"/>
      </rPr>
      <t>/t-VS投入
（脱水汚泥）
　・脱水汚泥含水率：従来直接脱水79％，従来消化脱水82％，
　　　　　　　　　　　　　革新消化脱水（2液調質）80％
　・ポリ硫酸第二鉄添加による脱水汚泥固形物量増（革新）：
　　脱水機供給汚泥固形物量×25％（添加率）
　　×11％（ポリ硫酸第二鉄溶液濃度）
　　×107／56（Fe(OH)</t>
    </r>
    <r>
      <rPr>
        <vertAlign val="subscript"/>
        <sz val="8"/>
        <color theme="1"/>
        <rFont val="ＭＳ Ｐゴシック"/>
        <family val="3"/>
        <charset val="128"/>
      </rPr>
      <t>3</t>
    </r>
    <r>
      <rPr>
        <sz val="8"/>
        <color theme="1"/>
        <rFont val="ＭＳ Ｐゴシック"/>
        <family val="3"/>
        <charset val="128"/>
      </rPr>
      <t>分子量／Fe分子量）
（薬注率）
　・高分子凝集剤（従来・機械濃縮）：0.3％
　・高分子凝集剤（従来・直接脱水）：1.2％
　・高分子凝集剤（従来・消化脱水）：1.6％
　・高分子凝集剤（革新・高濃度濃縮）：0.35％
　・高分子凝集剤（革新・脱水）：1.5％
　・ポリ硫酸第二鉄（革新・脱水）：25％
（バイオガス発電）
　・バイオガス発電（従来）：発電効率 32％，廃熱回収率 52％
　　⇒1台当たりの定格発電出力25 kW，廃熱回収量40.6 kW
　　発電量（システム端）＝発電量（発電端）×90％
　・バイオガス発電（革新）：発電効率33％
（水素製造・供給）
　・水素製造量：70 Nm</t>
    </r>
    <r>
      <rPr>
        <vertAlign val="superscript"/>
        <sz val="8"/>
        <color theme="1"/>
        <rFont val="ＭＳ Ｐゴシック"/>
        <family val="3"/>
        <charset val="128"/>
      </rPr>
      <t>3</t>
    </r>
    <r>
      <rPr>
        <sz val="8"/>
        <color theme="1"/>
        <rFont val="ＭＳ Ｐゴシック"/>
        <family val="3"/>
        <charset val="128"/>
      </rPr>
      <t>/週
　・水素供給量：10 Nm</t>
    </r>
    <r>
      <rPr>
        <vertAlign val="superscript"/>
        <sz val="8"/>
        <color theme="1"/>
        <rFont val="ＭＳ Ｐゴシック"/>
        <family val="3"/>
        <charset val="128"/>
      </rPr>
      <t>3</t>
    </r>
    <r>
      <rPr>
        <sz val="8"/>
        <color theme="1"/>
        <rFont val="ＭＳ Ｐゴシック"/>
        <family val="3"/>
        <charset val="128"/>
      </rPr>
      <t>/日（圧縮機運転時間：8 h/日）
（稼働日数）
　・濃縮・消化・脱水設備：365日/年
　・精製・発電設備：355日/年
　・水素製造・供給設備：345日/年
（電力→熱量換算）
　・受電端投入熱量：9.484 MJ/kWh</t>
    </r>
    <rPh sb="1" eb="3">
      <t>シサン</t>
    </rPh>
    <rPh sb="3" eb="5">
      <t>ジョウケン</t>
    </rPh>
    <rPh sb="9" eb="11">
      <t>ゲンリョウ</t>
    </rPh>
    <rPh sb="11" eb="13">
      <t>オデイ</t>
    </rPh>
    <rPh sb="25" eb="27">
      <t>ハッセイ</t>
    </rPh>
    <rPh sb="27" eb="29">
      <t>オデイ</t>
    </rPh>
    <rPh sb="29" eb="30">
      <t>リョウ</t>
    </rPh>
    <rPh sb="30" eb="32">
      <t>ヒリツ</t>
    </rPh>
    <rPh sb="101" eb="103">
      <t>カイシュウ</t>
    </rPh>
    <rPh sb="103" eb="104">
      <t>リツ</t>
    </rPh>
    <rPh sb="116" eb="118">
      <t>ダッスイ</t>
    </rPh>
    <rPh sb="125" eb="127">
      <t>カクシン</t>
    </rPh>
    <rPh sb="127" eb="129">
      <t>キョウツウ</t>
    </rPh>
    <rPh sb="163" eb="165">
      <t>ショウカ</t>
    </rPh>
    <rPh sb="165" eb="167">
      <t>セイノウ</t>
    </rPh>
    <rPh sb="213" eb="215">
      <t>ダッスイ</t>
    </rPh>
    <rPh sb="215" eb="217">
      <t>オデイ</t>
    </rPh>
    <rPh sb="271" eb="272">
      <t>エキ</t>
    </rPh>
    <rPh sb="272" eb="274">
      <t>チョウシツ</t>
    </rPh>
    <rPh sb="397" eb="399">
      <t>キカイ</t>
    </rPh>
    <rPh sb="527" eb="529">
      <t>ハツデン</t>
    </rPh>
    <rPh sb="647" eb="649">
      <t>スイソ</t>
    </rPh>
    <rPh sb="649" eb="651">
      <t>セイゾウ</t>
    </rPh>
    <rPh sb="652" eb="654">
      <t>キョウキュウ</t>
    </rPh>
    <rPh sb="658" eb="660">
      <t>スイソ</t>
    </rPh>
    <rPh sb="660" eb="662">
      <t>セイゾウ</t>
    </rPh>
    <rPh sb="662" eb="663">
      <t>リョウ</t>
    </rPh>
    <rPh sb="671" eb="672">
      <t>シュウ</t>
    </rPh>
    <rPh sb="675" eb="677">
      <t>スイソ</t>
    </rPh>
    <rPh sb="677" eb="679">
      <t>キョウキュウ</t>
    </rPh>
    <rPh sb="679" eb="680">
      <t>リョウ</t>
    </rPh>
    <rPh sb="688" eb="689">
      <t>ニチ</t>
    </rPh>
    <rPh sb="690" eb="693">
      <t>アッシュクキ</t>
    </rPh>
    <rPh sb="693" eb="695">
      <t>ウンテン</t>
    </rPh>
    <rPh sb="695" eb="697">
      <t>ジカン</t>
    </rPh>
    <rPh sb="702" eb="703">
      <t>ニチ</t>
    </rPh>
    <rPh sb="706" eb="708">
      <t>カドウ</t>
    </rPh>
    <rPh sb="708" eb="710">
      <t>ニッスウ</t>
    </rPh>
    <rPh sb="714" eb="716">
      <t>ノウシュク</t>
    </rPh>
    <rPh sb="717" eb="719">
      <t>ショウカ</t>
    </rPh>
    <rPh sb="720" eb="722">
      <t>ダッスイ</t>
    </rPh>
    <rPh sb="722" eb="724">
      <t>セツビ</t>
    </rPh>
    <rPh sb="728" eb="729">
      <t>ニチ</t>
    </rPh>
    <rPh sb="730" eb="731">
      <t>ネン</t>
    </rPh>
    <rPh sb="734" eb="736">
      <t>セイセイ</t>
    </rPh>
    <rPh sb="737" eb="739">
      <t>ハツデン</t>
    </rPh>
    <rPh sb="751" eb="753">
      <t>スイソ</t>
    </rPh>
    <rPh sb="753" eb="755">
      <t>セイゾウ</t>
    </rPh>
    <rPh sb="756" eb="758">
      <t>キョウキュウ</t>
    </rPh>
    <phoneticPr fontId="43"/>
  </si>
  <si>
    <t>濃縮後日最大汚泥量</t>
    <rPh sb="0" eb="2">
      <t>ノウシュク</t>
    </rPh>
    <rPh sb="2" eb="3">
      <t>ゴ</t>
    </rPh>
    <rPh sb="3" eb="4">
      <t>ニチ</t>
    </rPh>
    <rPh sb="4" eb="6">
      <t>サイダイ</t>
    </rPh>
    <rPh sb="6" eb="8">
      <t>オデイ</t>
    </rPh>
    <rPh sb="8" eb="9">
      <t>リョウ</t>
    </rPh>
    <phoneticPr fontId="43"/>
  </si>
  <si>
    <t>Qd1</t>
    <phoneticPr fontId="43"/>
  </si>
  <si>
    <t>日最大脱水投入汚泥量</t>
    <rPh sb="0" eb="1">
      <t>ニチ</t>
    </rPh>
    <rPh sb="1" eb="3">
      <t>サイダイ</t>
    </rPh>
    <rPh sb="3" eb="5">
      <t>ダッスイ</t>
    </rPh>
    <rPh sb="5" eb="7">
      <t>トウニュウ</t>
    </rPh>
    <rPh sb="7" eb="9">
      <t>オデイ</t>
    </rPh>
    <rPh sb="9" eb="10">
      <t>リョウ</t>
    </rPh>
    <phoneticPr fontId="43"/>
  </si>
  <si>
    <t>消化なし</t>
    <rPh sb="0" eb="2">
      <t>ショウカ</t>
    </rPh>
    <phoneticPr fontId="43"/>
  </si>
  <si>
    <t>Qd2</t>
    <phoneticPr fontId="43"/>
  </si>
  <si>
    <t>消化あり</t>
    <rPh sb="0" eb="2">
      <t>ショウカ</t>
    </rPh>
    <phoneticPr fontId="43"/>
  </si>
  <si>
    <t>脱硫装置バイオガス処理能力</t>
    <rPh sb="0" eb="2">
      <t>ダツリュウ</t>
    </rPh>
    <rPh sb="2" eb="4">
      <t>ソウチ</t>
    </rPh>
    <rPh sb="9" eb="11">
      <t>ショリ</t>
    </rPh>
    <rPh sb="11" eb="13">
      <t>ノウリョク</t>
    </rPh>
    <phoneticPr fontId="43"/>
  </si>
  <si>
    <r>
      <t>m</t>
    </r>
    <r>
      <rPr>
        <vertAlign val="superscript"/>
        <sz val="11"/>
        <color theme="1"/>
        <rFont val="ＭＳ Ｐゴシック"/>
        <family val="3"/>
        <charset val="128"/>
      </rPr>
      <t>3</t>
    </r>
    <r>
      <rPr>
        <sz val="11"/>
        <color theme="1"/>
        <rFont val="游ゴシック"/>
        <family val="2"/>
        <charset val="128"/>
        <scheme val="minor"/>
      </rPr>
      <t>/時</t>
    </r>
    <rPh sb="3" eb="4">
      <t>ジ</t>
    </rPh>
    <phoneticPr fontId="43"/>
  </si>
  <si>
    <t>g</t>
    <phoneticPr fontId="43"/>
  </si>
  <si>
    <t>日最大バイオガス発生量÷24</t>
    <rPh sb="0" eb="1">
      <t>ニチ</t>
    </rPh>
    <rPh sb="1" eb="3">
      <t>サイダイ</t>
    </rPh>
    <rPh sb="8" eb="10">
      <t>ハッセイ</t>
    </rPh>
    <rPh sb="10" eb="11">
      <t>リョウ</t>
    </rPh>
    <phoneticPr fontId="43"/>
  </si>
  <si>
    <t>ガスホルダ貯留容量</t>
    <rPh sb="5" eb="7">
      <t>チョリュウ</t>
    </rPh>
    <rPh sb="7" eb="9">
      <t>ヨウリョウ</t>
    </rPh>
    <phoneticPr fontId="43"/>
  </si>
  <si>
    <r>
      <t>m</t>
    </r>
    <r>
      <rPr>
        <vertAlign val="superscript"/>
        <sz val="11"/>
        <color theme="1"/>
        <rFont val="ＭＳ Ｐゴシック"/>
        <family val="3"/>
        <charset val="128"/>
      </rPr>
      <t>3</t>
    </r>
    <phoneticPr fontId="43"/>
  </si>
  <si>
    <t>V</t>
    <phoneticPr fontId="43"/>
  </si>
  <si>
    <t>日最大バイオガス発生量の半日分</t>
    <rPh sb="0" eb="1">
      <t>ニチ</t>
    </rPh>
    <rPh sb="1" eb="3">
      <t>サイダイ</t>
    </rPh>
    <rPh sb="8" eb="10">
      <t>ハッセイ</t>
    </rPh>
    <rPh sb="10" eb="11">
      <t>リョウ</t>
    </rPh>
    <rPh sb="12" eb="14">
      <t>ハンニチ</t>
    </rPh>
    <rPh sb="14" eb="15">
      <t>ブン</t>
    </rPh>
    <phoneticPr fontId="43"/>
  </si>
  <si>
    <t>総発電施設規模</t>
    <rPh sb="0" eb="1">
      <t>ソウ</t>
    </rPh>
    <rPh sb="1" eb="3">
      <t>ハツデン</t>
    </rPh>
    <rPh sb="3" eb="5">
      <t>シセツ</t>
    </rPh>
    <rPh sb="5" eb="7">
      <t>キボ</t>
    </rPh>
    <phoneticPr fontId="43"/>
  </si>
  <si>
    <t>kW</t>
    <phoneticPr fontId="43"/>
  </si>
  <si>
    <t>x</t>
    <phoneticPr fontId="43"/>
  </si>
  <si>
    <t>革新的
技術</t>
    <rPh sb="0" eb="3">
      <t>カクシンテキ</t>
    </rPh>
    <rPh sb="4" eb="6">
      <t>ギジュツ</t>
    </rPh>
    <phoneticPr fontId="43"/>
  </si>
  <si>
    <t>日最大発生汚泥固形物量</t>
    <rPh sb="0" eb="1">
      <t>ニチ</t>
    </rPh>
    <rPh sb="1" eb="3">
      <t>サイダイ</t>
    </rPh>
    <rPh sb="3" eb="5">
      <t>ハッセイ</t>
    </rPh>
    <rPh sb="5" eb="7">
      <t>オデイ</t>
    </rPh>
    <rPh sb="7" eb="10">
      <t>コケイブツ</t>
    </rPh>
    <rPh sb="10" eb="11">
      <t>リョウ</t>
    </rPh>
    <phoneticPr fontId="43"/>
  </si>
  <si>
    <t>t-ds/日</t>
  </si>
  <si>
    <t>Q1</t>
    <phoneticPr fontId="43"/>
  </si>
  <si>
    <t>Q1≦25</t>
    <phoneticPr fontId="43"/>
  </si>
  <si>
    <t>日最大バイオガス発生量</t>
    <rPh sb="0" eb="1">
      <t>ニチ</t>
    </rPh>
    <rPh sb="1" eb="3">
      <t>サイダイ</t>
    </rPh>
    <rPh sb="8" eb="10">
      <t>ハッセイ</t>
    </rPh>
    <rPh sb="10" eb="11">
      <t>リョウ</t>
    </rPh>
    <phoneticPr fontId="43"/>
  </si>
  <si>
    <r>
      <t>Nm</t>
    </r>
    <r>
      <rPr>
        <vertAlign val="superscript"/>
        <sz val="11"/>
        <color theme="1"/>
        <rFont val="ＭＳ Ｐゴシック"/>
        <family val="3"/>
        <charset val="128"/>
      </rPr>
      <t>3</t>
    </r>
    <r>
      <rPr>
        <sz val="11"/>
        <color theme="1"/>
        <rFont val="游ゴシック"/>
        <family val="2"/>
        <charset val="128"/>
        <scheme val="minor"/>
      </rPr>
      <t>/日</t>
    </r>
    <rPh sb="4" eb="5">
      <t>ニチ</t>
    </rPh>
    <phoneticPr fontId="43"/>
  </si>
  <si>
    <t>Q2</t>
    <phoneticPr fontId="43"/>
  </si>
  <si>
    <t>1,292≦Q2≦3,230</t>
    <phoneticPr fontId="43"/>
  </si>
  <si>
    <t>【単価（革新的技術）】</t>
    <rPh sb="1" eb="3">
      <t>タンカ</t>
    </rPh>
    <rPh sb="4" eb="6">
      <t>カクシン</t>
    </rPh>
    <rPh sb="6" eb="7">
      <t>テキ</t>
    </rPh>
    <rPh sb="7" eb="9">
      <t>ギジュツ</t>
    </rPh>
    <phoneticPr fontId="43"/>
  </si>
  <si>
    <t>電力</t>
    <rPh sb="0" eb="2">
      <t>デンリョク</t>
    </rPh>
    <phoneticPr fontId="43"/>
  </si>
  <si>
    <t>円/kWh</t>
    <rPh sb="0" eb="1">
      <t>エン</t>
    </rPh>
    <phoneticPr fontId="43"/>
  </si>
  <si>
    <t>A</t>
    <phoneticPr fontId="43"/>
  </si>
  <si>
    <t>高分子凝集剤（カチオン系）</t>
    <rPh sb="0" eb="6">
      <t>コウブンシギョウシュウザイ</t>
    </rPh>
    <rPh sb="11" eb="12">
      <t>ケイ</t>
    </rPh>
    <phoneticPr fontId="43"/>
  </si>
  <si>
    <t>円/kg</t>
    <rPh sb="0" eb="1">
      <t>エン</t>
    </rPh>
    <phoneticPr fontId="43"/>
  </si>
  <si>
    <t>B</t>
    <phoneticPr fontId="43"/>
  </si>
  <si>
    <t>上水</t>
    <rPh sb="0" eb="2">
      <t>ジョウスイ</t>
    </rPh>
    <phoneticPr fontId="43"/>
  </si>
  <si>
    <r>
      <t>円/m</t>
    </r>
    <r>
      <rPr>
        <vertAlign val="superscript"/>
        <sz val="11"/>
        <color theme="1"/>
        <rFont val="ＭＳ Ｐゴシック"/>
        <family val="3"/>
        <charset val="128"/>
      </rPr>
      <t>3</t>
    </r>
    <rPh sb="0" eb="1">
      <t>エン</t>
    </rPh>
    <phoneticPr fontId="43"/>
  </si>
  <si>
    <t>C</t>
    <phoneticPr fontId="43"/>
  </si>
  <si>
    <t>ポリ硫酸第二鉄（11％溶液）</t>
    <rPh sb="2" eb="7">
      <t>リュウサンダイニテツ</t>
    </rPh>
    <rPh sb="11" eb="13">
      <t>ヨウエキ</t>
    </rPh>
    <phoneticPr fontId="43"/>
  </si>
  <si>
    <t>D</t>
    <phoneticPr fontId="43"/>
  </si>
  <si>
    <t>人件費</t>
    <rPh sb="0" eb="3">
      <t>ジンケンヒ</t>
    </rPh>
    <phoneticPr fontId="43"/>
  </si>
  <si>
    <t>百万円/年/人</t>
    <rPh sb="0" eb="3">
      <t>ヒャクマンエン</t>
    </rPh>
    <rPh sb="4" eb="5">
      <t>ネン</t>
    </rPh>
    <rPh sb="6" eb="7">
      <t>ヒト</t>
    </rPh>
    <phoneticPr fontId="43"/>
  </si>
  <si>
    <t>E</t>
    <phoneticPr fontId="43"/>
  </si>
  <si>
    <t>汚泥処分費（運搬費込み）</t>
    <rPh sb="0" eb="2">
      <t>オデイ</t>
    </rPh>
    <rPh sb="2" eb="4">
      <t>ショブン</t>
    </rPh>
    <rPh sb="4" eb="5">
      <t>ヒ</t>
    </rPh>
    <rPh sb="6" eb="8">
      <t>ウンパン</t>
    </rPh>
    <rPh sb="8" eb="9">
      <t>ヒ</t>
    </rPh>
    <rPh sb="9" eb="10">
      <t>コ</t>
    </rPh>
    <phoneticPr fontId="43"/>
  </si>
  <si>
    <t>円/t-wet</t>
    <rPh sb="0" eb="1">
      <t>エン</t>
    </rPh>
    <phoneticPr fontId="43"/>
  </si>
  <si>
    <t>F</t>
    <phoneticPr fontId="43"/>
  </si>
  <si>
    <r>
      <t>【CO</t>
    </r>
    <r>
      <rPr>
        <vertAlign val="subscript"/>
        <sz val="11"/>
        <color theme="1"/>
        <rFont val="ＭＳ Ｐゴシック"/>
        <family val="3"/>
        <charset val="128"/>
      </rPr>
      <t>2</t>
    </r>
    <r>
      <rPr>
        <sz val="11"/>
        <color theme="1"/>
        <rFont val="游ゴシック"/>
        <family val="2"/>
        <charset val="128"/>
        <scheme val="minor"/>
      </rPr>
      <t>排出係数】</t>
    </r>
    <rPh sb="4" eb="6">
      <t>ハイシュツ</t>
    </rPh>
    <rPh sb="6" eb="8">
      <t>ケイスウ</t>
    </rPh>
    <phoneticPr fontId="43"/>
  </si>
  <si>
    <r>
      <t>t-CO</t>
    </r>
    <r>
      <rPr>
        <vertAlign val="subscript"/>
        <sz val="11"/>
        <color theme="1"/>
        <rFont val="ＭＳ Ｐゴシック"/>
        <family val="3"/>
        <charset val="128"/>
      </rPr>
      <t>2</t>
    </r>
    <r>
      <rPr>
        <sz val="11"/>
        <color theme="1"/>
        <rFont val="游ゴシック"/>
        <family val="2"/>
        <charset val="128"/>
        <scheme val="minor"/>
      </rPr>
      <t>/kWh</t>
    </r>
    <phoneticPr fontId="43"/>
  </si>
  <si>
    <t>a</t>
    <phoneticPr fontId="43"/>
  </si>
  <si>
    <t>高分子凝集剤</t>
    <rPh sb="0" eb="6">
      <t>コウブンシギョウシュウザイ</t>
    </rPh>
    <phoneticPr fontId="43"/>
  </si>
  <si>
    <r>
      <t>t-CO</t>
    </r>
    <r>
      <rPr>
        <vertAlign val="subscript"/>
        <sz val="11"/>
        <color theme="1"/>
        <rFont val="ＭＳ Ｐゴシック"/>
        <family val="3"/>
        <charset val="128"/>
      </rPr>
      <t>2</t>
    </r>
    <r>
      <rPr>
        <sz val="11"/>
        <color theme="1"/>
        <rFont val="游ゴシック"/>
        <family val="2"/>
        <charset val="128"/>
        <scheme val="minor"/>
      </rPr>
      <t>/t</t>
    </r>
    <phoneticPr fontId="43"/>
  </si>
  <si>
    <t>b</t>
    <phoneticPr fontId="43"/>
  </si>
  <si>
    <r>
      <t>t-CO</t>
    </r>
    <r>
      <rPr>
        <vertAlign val="subscript"/>
        <sz val="11"/>
        <color theme="1"/>
        <rFont val="ＭＳ Ｐゴシック"/>
        <family val="3"/>
        <charset val="128"/>
      </rPr>
      <t>2</t>
    </r>
    <r>
      <rPr>
        <sz val="11"/>
        <color theme="1"/>
        <rFont val="游ゴシック"/>
        <family val="2"/>
        <charset val="128"/>
        <scheme val="minor"/>
      </rPr>
      <t>/m</t>
    </r>
    <r>
      <rPr>
        <vertAlign val="superscript"/>
        <sz val="11"/>
        <color theme="1"/>
        <rFont val="ＭＳ Ｐゴシック"/>
        <family val="3"/>
        <charset val="128"/>
      </rPr>
      <t>3</t>
    </r>
    <phoneticPr fontId="43"/>
  </si>
  <si>
    <t>c</t>
    <phoneticPr fontId="43"/>
  </si>
  <si>
    <t>d</t>
    <phoneticPr fontId="43"/>
  </si>
  <si>
    <t>活性炭</t>
    <rPh sb="0" eb="3">
      <t>カッセイタン</t>
    </rPh>
    <phoneticPr fontId="43"/>
  </si>
  <si>
    <t>e</t>
    <phoneticPr fontId="43"/>
  </si>
  <si>
    <t>ガソリン</t>
    <phoneticPr fontId="43"/>
  </si>
  <si>
    <r>
      <t>t-CO</t>
    </r>
    <r>
      <rPr>
        <vertAlign val="subscript"/>
        <sz val="11"/>
        <color theme="1"/>
        <rFont val="ＭＳ Ｐゴシック"/>
        <family val="3"/>
        <charset val="128"/>
      </rPr>
      <t>2</t>
    </r>
    <r>
      <rPr>
        <sz val="11"/>
        <color theme="1"/>
        <rFont val="游ゴシック"/>
        <family val="2"/>
        <charset val="128"/>
        <scheme val="minor"/>
      </rPr>
      <t>/kL</t>
    </r>
    <phoneticPr fontId="43"/>
  </si>
  <si>
    <t>f</t>
    <phoneticPr fontId="43"/>
  </si>
  <si>
    <t>【建設工事費デフレーター】 建設費年価計算時に適用</t>
    <rPh sb="1" eb="3">
      <t>ケンセツ</t>
    </rPh>
    <rPh sb="3" eb="5">
      <t>コウジ</t>
    </rPh>
    <rPh sb="5" eb="6">
      <t>ヒ</t>
    </rPh>
    <rPh sb="14" eb="17">
      <t>ケンセツヒ</t>
    </rPh>
    <rPh sb="17" eb="18">
      <t>ネン</t>
    </rPh>
    <rPh sb="18" eb="19">
      <t>カ</t>
    </rPh>
    <rPh sb="19" eb="21">
      <t>ケイサン</t>
    </rPh>
    <rPh sb="21" eb="22">
      <t>ジ</t>
    </rPh>
    <rPh sb="23" eb="25">
      <t>テキヨウ</t>
    </rPh>
    <phoneticPr fontId="43"/>
  </si>
  <si>
    <t>出典</t>
    <rPh sb="0" eb="2">
      <t>シュッテン</t>
    </rPh>
    <phoneticPr fontId="43"/>
  </si>
  <si>
    <t>工事種別</t>
    <rPh sb="0" eb="2">
      <t>コウジ</t>
    </rPh>
    <rPh sb="2" eb="4">
      <t>シュベツ</t>
    </rPh>
    <phoneticPr fontId="43"/>
  </si>
  <si>
    <t>建設工事費デフレーター（H23基準）</t>
    <rPh sb="0" eb="2">
      <t>ケンセツ</t>
    </rPh>
    <rPh sb="2" eb="4">
      <t>コウジ</t>
    </rPh>
    <rPh sb="4" eb="5">
      <t>ヒ</t>
    </rPh>
    <rPh sb="15" eb="17">
      <t>キジュン</t>
    </rPh>
    <phoneticPr fontId="43"/>
  </si>
  <si>
    <t>下水汚泥広域利活用検討マニュアル</t>
    <rPh sb="0" eb="2">
      <t>ゲスイ</t>
    </rPh>
    <rPh sb="2" eb="4">
      <t>オデイ</t>
    </rPh>
    <rPh sb="4" eb="6">
      <t>コウイキ</t>
    </rPh>
    <rPh sb="6" eb="9">
      <t>リカツヨウ</t>
    </rPh>
    <rPh sb="9" eb="11">
      <t>ケントウ</t>
    </rPh>
    <phoneticPr fontId="43"/>
  </si>
  <si>
    <t>下水道</t>
    <rPh sb="0" eb="3">
      <t>ゲスイドウ</t>
    </rPh>
    <phoneticPr fontId="43"/>
  </si>
  <si>
    <t>92.7（H13）</t>
    <phoneticPr fontId="43"/>
  </si>
  <si>
    <t>→</t>
    <phoneticPr fontId="43"/>
  </si>
  <si>
    <t>下水処理場へのバイオマス（生ごみ等）受け入れマニュアル</t>
    <rPh sb="0" eb="2">
      <t>ゲスイ</t>
    </rPh>
    <rPh sb="2" eb="5">
      <t>ショリジョウ</t>
    </rPh>
    <rPh sb="13" eb="14">
      <t>ナマ</t>
    </rPh>
    <rPh sb="16" eb="17">
      <t>トウ</t>
    </rPh>
    <rPh sb="18" eb="19">
      <t>ウ</t>
    </rPh>
    <rPh sb="20" eb="21">
      <t>イ</t>
    </rPh>
    <phoneticPr fontId="43"/>
  </si>
  <si>
    <t>98.5（H21）</t>
    <phoneticPr fontId="43"/>
  </si>
  <si>
    <t>下水汚泥エネルギー化技術ガイドライン</t>
    <rPh sb="0" eb="2">
      <t>ゲスイ</t>
    </rPh>
    <rPh sb="2" eb="4">
      <t>オデイ</t>
    </rPh>
    <rPh sb="9" eb="10">
      <t>カ</t>
    </rPh>
    <rPh sb="10" eb="12">
      <t>ギジュツ</t>
    </rPh>
    <phoneticPr fontId="43"/>
  </si>
  <si>
    <t>107.5（H29）</t>
    <phoneticPr fontId="43"/>
  </si>
  <si>
    <t>【利子率・耐用年数】</t>
    <rPh sb="1" eb="3">
      <t>リシ</t>
    </rPh>
    <rPh sb="3" eb="4">
      <t>リツ</t>
    </rPh>
    <rPh sb="5" eb="7">
      <t>タイヨウ</t>
    </rPh>
    <rPh sb="7" eb="9">
      <t>ネンスウ</t>
    </rPh>
    <phoneticPr fontId="43"/>
  </si>
  <si>
    <t>利子率</t>
    <rPh sb="0" eb="2">
      <t>リシ</t>
    </rPh>
    <rPh sb="2" eb="3">
      <t>リツ</t>
    </rPh>
    <phoneticPr fontId="43"/>
  </si>
  <si>
    <t>％</t>
    <phoneticPr fontId="43"/>
  </si>
  <si>
    <t>i</t>
    <phoneticPr fontId="43"/>
  </si>
  <si>
    <t>耐用年数</t>
    <rPh sb="0" eb="2">
      <t>タイヨウ</t>
    </rPh>
    <rPh sb="2" eb="4">
      <t>ネンスウ</t>
    </rPh>
    <phoneticPr fontId="43"/>
  </si>
  <si>
    <t>消化</t>
    <rPh sb="0" eb="2">
      <t>ショウカ</t>
    </rPh>
    <phoneticPr fontId="43"/>
  </si>
  <si>
    <t>機械・電気（鋼板製消化槽本体）</t>
    <rPh sb="0" eb="2">
      <t>キカイ</t>
    </rPh>
    <rPh sb="3" eb="5">
      <t>デンキ</t>
    </rPh>
    <rPh sb="6" eb="8">
      <t>コウハン</t>
    </rPh>
    <rPh sb="8" eb="9">
      <t>セイ</t>
    </rPh>
    <rPh sb="9" eb="11">
      <t>ショウカ</t>
    </rPh>
    <rPh sb="11" eb="12">
      <t>ソウ</t>
    </rPh>
    <rPh sb="12" eb="14">
      <t>ホンタイ</t>
    </rPh>
    <phoneticPr fontId="43"/>
  </si>
  <si>
    <t>年</t>
    <rPh sb="0" eb="1">
      <t>ネン</t>
    </rPh>
    <phoneticPr fontId="43"/>
  </si>
  <si>
    <t>n</t>
    <phoneticPr fontId="43"/>
  </si>
  <si>
    <t>機械・電気（鋼板製消化槽本体以外）</t>
    <rPh sb="0" eb="2">
      <t>キカイ</t>
    </rPh>
    <rPh sb="3" eb="5">
      <t>デンキ</t>
    </rPh>
    <rPh sb="6" eb="8">
      <t>コウハン</t>
    </rPh>
    <rPh sb="8" eb="9">
      <t>セイ</t>
    </rPh>
    <rPh sb="9" eb="11">
      <t>ショウカ</t>
    </rPh>
    <rPh sb="11" eb="12">
      <t>ソウ</t>
    </rPh>
    <rPh sb="12" eb="14">
      <t>ホンタイ</t>
    </rPh>
    <rPh sb="14" eb="16">
      <t>イガイ</t>
    </rPh>
    <phoneticPr fontId="43"/>
  </si>
  <si>
    <t>土木</t>
    <rPh sb="0" eb="2">
      <t>ドボク</t>
    </rPh>
    <phoneticPr fontId="43"/>
  </si>
  <si>
    <t>消化以外</t>
    <rPh sb="0" eb="2">
      <t>ショウカ</t>
    </rPh>
    <rPh sb="2" eb="4">
      <t>イガイ</t>
    </rPh>
    <phoneticPr fontId="43"/>
  </si>
  <si>
    <t>機械・電気</t>
    <rPh sb="0" eb="2">
      <t>キカイ</t>
    </rPh>
    <rPh sb="3" eb="5">
      <t>デンキ</t>
    </rPh>
    <phoneticPr fontId="43"/>
  </si>
  <si>
    <t>試算範囲</t>
    <rPh sb="0" eb="4">
      <t>シサンハンイ</t>
    </rPh>
    <phoneticPr fontId="43"/>
  </si>
  <si>
    <t>算定結果</t>
    <rPh sb="0" eb="2">
      <t>サンテイ</t>
    </rPh>
    <rPh sb="2" eb="4">
      <t>ケッカ</t>
    </rPh>
    <phoneticPr fontId="43"/>
  </si>
  <si>
    <t>総費用
（年価換算値）</t>
    <rPh sb="0" eb="3">
      <t>ソウヒヨウ</t>
    </rPh>
    <rPh sb="5" eb="6">
      <t>ネン</t>
    </rPh>
    <rPh sb="6" eb="7">
      <t>カ</t>
    </rPh>
    <rPh sb="7" eb="9">
      <t>カンザン</t>
    </rPh>
    <rPh sb="9" eb="10">
      <t>チ</t>
    </rPh>
    <phoneticPr fontId="43"/>
  </si>
  <si>
    <t>百万円/年</t>
    <rPh sb="0" eb="3">
      <t>ヒャクマンエン</t>
    </rPh>
    <rPh sb="4" eb="5">
      <t>ネン</t>
    </rPh>
    <phoneticPr fontId="43"/>
  </si>
  <si>
    <t>消化あり・発電なし</t>
    <rPh sb="0" eb="2">
      <t>ショウカ</t>
    </rPh>
    <rPh sb="5" eb="7">
      <t>ハツデン</t>
    </rPh>
    <phoneticPr fontId="43"/>
  </si>
  <si>
    <t>消化あり・発電あり</t>
    <rPh sb="0" eb="2">
      <t>ショウカ</t>
    </rPh>
    <rPh sb="5" eb="7">
      <t>ハツデン</t>
    </rPh>
    <phoneticPr fontId="43"/>
  </si>
  <si>
    <t>要素技術（濃縮・消化）</t>
    <rPh sb="0" eb="2">
      <t>ヨウソ</t>
    </rPh>
    <rPh sb="2" eb="4">
      <t>ギジュツ</t>
    </rPh>
    <rPh sb="5" eb="7">
      <t>ノウシュク</t>
    </rPh>
    <rPh sb="8" eb="10">
      <t>ショウカ</t>
    </rPh>
    <phoneticPr fontId="43"/>
  </si>
  <si>
    <t>エネルギー収支
（創出量－消費量）</t>
    <rPh sb="5" eb="7">
      <t>シュウシ</t>
    </rPh>
    <rPh sb="9" eb="11">
      <t>ソウシュツ</t>
    </rPh>
    <rPh sb="11" eb="12">
      <t>リョウ</t>
    </rPh>
    <rPh sb="13" eb="16">
      <t>ショウヒリョウ</t>
    </rPh>
    <phoneticPr fontId="43"/>
  </si>
  <si>
    <t>GJ/年</t>
    <rPh sb="3" eb="4">
      <t>ネン</t>
    </rPh>
    <phoneticPr fontId="43"/>
  </si>
  <si>
    <r>
      <t>CO</t>
    </r>
    <r>
      <rPr>
        <vertAlign val="subscript"/>
        <sz val="11"/>
        <color theme="1"/>
        <rFont val="ＭＳ Ｐゴシック"/>
        <family val="3"/>
        <charset val="128"/>
      </rPr>
      <t>2</t>
    </r>
    <r>
      <rPr>
        <sz val="11"/>
        <color theme="1"/>
        <rFont val="游ゴシック"/>
        <family val="2"/>
        <charset val="128"/>
        <scheme val="minor"/>
      </rPr>
      <t>収支
（排出量－排出削減量）</t>
    </r>
    <rPh sb="3" eb="5">
      <t>シュウシ</t>
    </rPh>
    <rPh sb="7" eb="9">
      <t>ハイシュツ</t>
    </rPh>
    <rPh sb="9" eb="10">
      <t>リョウ</t>
    </rPh>
    <rPh sb="11" eb="13">
      <t>ハイシュツ</t>
    </rPh>
    <rPh sb="13" eb="15">
      <t>サクゲン</t>
    </rPh>
    <rPh sb="15" eb="16">
      <t>リョウ</t>
    </rPh>
    <phoneticPr fontId="43"/>
  </si>
  <si>
    <r>
      <t>t-CO</t>
    </r>
    <r>
      <rPr>
        <vertAlign val="subscript"/>
        <sz val="11"/>
        <color theme="1"/>
        <rFont val="ＭＳ Ｐゴシック"/>
        <family val="3"/>
        <charset val="128"/>
      </rPr>
      <t>2</t>
    </r>
    <r>
      <rPr>
        <sz val="11"/>
        <color theme="1"/>
        <rFont val="游ゴシック"/>
        <family val="2"/>
        <charset val="128"/>
        <scheme val="minor"/>
      </rPr>
      <t>/年</t>
    </r>
    <rPh sb="6" eb="7">
      <t>ネン</t>
    </rPh>
    <phoneticPr fontId="43"/>
  </si>
  <si>
    <t>革新的技術</t>
    <rPh sb="0" eb="3">
      <t>カクシンテキ</t>
    </rPh>
    <rPh sb="3" eb="5">
      <t>ギジュツ</t>
    </rPh>
    <phoneticPr fontId="43"/>
  </si>
  <si>
    <t>水素なし</t>
    <rPh sb="0" eb="2">
      <t>スイソ</t>
    </rPh>
    <phoneticPr fontId="43"/>
  </si>
  <si>
    <t>水素あり</t>
    <rPh sb="0" eb="2">
      <t>スイソ</t>
    </rPh>
    <phoneticPr fontId="43"/>
  </si>
  <si>
    <t>要素技術（高濃度消化）</t>
    <rPh sb="0" eb="2">
      <t>ヨウソ</t>
    </rPh>
    <rPh sb="2" eb="4">
      <t>ギジュツ</t>
    </rPh>
    <rPh sb="5" eb="10">
      <t>コウノウドショウカ</t>
    </rPh>
    <phoneticPr fontId="43"/>
  </si>
  <si>
    <t>建設費</t>
    <rPh sb="0" eb="3">
      <t>ケンセツヒ</t>
    </rPh>
    <phoneticPr fontId="43"/>
  </si>
  <si>
    <t>区分</t>
    <rPh sb="0" eb="2">
      <t>クブン</t>
    </rPh>
    <phoneticPr fontId="43"/>
  </si>
  <si>
    <t>項目</t>
    <rPh sb="0" eb="2">
      <t>コウモク</t>
    </rPh>
    <phoneticPr fontId="43"/>
  </si>
  <si>
    <t>単位</t>
    <rPh sb="0" eb="2">
      <t>タンイ</t>
    </rPh>
    <phoneticPr fontId="43"/>
  </si>
  <si>
    <t>関数</t>
    <rPh sb="0" eb="2">
      <t>カンスウ</t>
    </rPh>
    <phoneticPr fontId="43"/>
  </si>
  <si>
    <t>建設費
（百万円）</t>
    <rPh sb="0" eb="3">
      <t>ケンセツヒ</t>
    </rPh>
    <rPh sb="5" eb="8">
      <t>ヒャクマンエン</t>
    </rPh>
    <phoneticPr fontId="43"/>
  </si>
  <si>
    <t>年価
（百万円/年）</t>
    <rPh sb="0" eb="1">
      <t>ネン</t>
    </rPh>
    <rPh sb="1" eb="2">
      <t>カ</t>
    </rPh>
    <rPh sb="4" eb="7">
      <t>ヒャクマンエン</t>
    </rPh>
    <rPh sb="8" eb="9">
      <t>ネン</t>
    </rPh>
    <phoneticPr fontId="43"/>
  </si>
  <si>
    <t>備考</t>
    <rPh sb="0" eb="2">
      <t>ビコウ</t>
    </rPh>
    <phoneticPr fontId="43"/>
  </si>
  <si>
    <t>濃縮</t>
    <rPh sb="0" eb="2">
      <t>ノウシュク</t>
    </rPh>
    <phoneticPr fontId="43"/>
  </si>
  <si>
    <t>重力濃縮</t>
    <rPh sb="0" eb="2">
      <t>ジュウリョク</t>
    </rPh>
    <rPh sb="2" eb="4">
      <t>ノウシュク</t>
    </rPh>
    <phoneticPr fontId="43"/>
  </si>
  <si>
    <t>機械</t>
    <rPh sb="0" eb="2">
      <t>キカイ</t>
    </rPh>
    <phoneticPr fontId="43"/>
  </si>
  <si>
    <t>百万円
・
百万円/年</t>
    <rPh sb="0" eb="3">
      <t>ヒャクマンエン</t>
    </rPh>
    <rPh sb="6" eb="9">
      <t>ヒャクマンエン</t>
    </rPh>
    <rPh sb="10" eb="11">
      <t>ネン</t>
    </rPh>
    <phoneticPr fontId="43"/>
  </si>
  <si>
    <r>
      <t>Y=0.0131×（0.5×Qd0）</t>
    </r>
    <r>
      <rPr>
        <vertAlign val="superscript"/>
        <sz val="11"/>
        <color theme="1"/>
        <rFont val="ＭＳ Ｐゴシック"/>
        <family val="3"/>
        <charset val="128"/>
      </rPr>
      <t>0.611</t>
    </r>
    <r>
      <rPr>
        <sz val="11"/>
        <color theme="1"/>
        <rFont val="游ゴシック"/>
        <family val="2"/>
        <charset val="128"/>
        <scheme val="minor"/>
      </rPr>
      <t>×100</t>
    </r>
    <phoneticPr fontId="43"/>
  </si>
  <si>
    <r>
      <t>Y=0.0124×（0.5×Qd0）</t>
    </r>
    <r>
      <rPr>
        <vertAlign val="superscript"/>
        <sz val="11"/>
        <color theme="1"/>
        <rFont val="ＭＳ Ｐゴシック"/>
        <family val="3"/>
        <charset val="128"/>
      </rPr>
      <t>0.598</t>
    </r>
    <r>
      <rPr>
        <sz val="11"/>
        <color theme="1"/>
        <rFont val="游ゴシック"/>
        <family val="2"/>
        <charset val="128"/>
        <scheme val="minor"/>
      </rPr>
      <t>×100</t>
    </r>
    <phoneticPr fontId="43"/>
  </si>
  <si>
    <t>機械濃縮</t>
    <rPh sb="0" eb="4">
      <t>キカイノウシュク</t>
    </rPh>
    <phoneticPr fontId="43"/>
  </si>
  <si>
    <r>
      <t>Y=0.438×（0.5×Qd0）</t>
    </r>
    <r>
      <rPr>
        <vertAlign val="superscript"/>
        <sz val="11"/>
        <color theme="1"/>
        <rFont val="ＭＳ Ｐゴシック"/>
        <family val="3"/>
        <charset val="128"/>
      </rPr>
      <t>0.422</t>
    </r>
    <r>
      <rPr>
        <sz val="11"/>
        <color theme="1"/>
        <rFont val="游ゴシック"/>
        <family val="2"/>
        <charset val="128"/>
        <scheme val="minor"/>
      </rPr>
      <t>×100</t>
    </r>
    <phoneticPr fontId="43"/>
  </si>
  <si>
    <r>
      <t>Y=0.340×（0.5×Qd0）</t>
    </r>
    <r>
      <rPr>
        <vertAlign val="superscript"/>
        <sz val="11"/>
        <color theme="1"/>
        <rFont val="ＭＳ Ｐゴシック"/>
        <family val="3"/>
        <charset val="128"/>
      </rPr>
      <t>0.259</t>
    </r>
    <r>
      <rPr>
        <sz val="11"/>
        <color theme="1"/>
        <rFont val="游ゴシック"/>
        <family val="2"/>
        <charset val="128"/>
        <scheme val="minor"/>
      </rPr>
      <t>×100</t>
    </r>
    <phoneticPr fontId="43"/>
  </si>
  <si>
    <t>脱硫・ガスホルダ
含む</t>
    <rPh sb="0" eb="2">
      <t>ダツリュウ</t>
    </rPh>
    <rPh sb="9" eb="10">
      <t>フク</t>
    </rPh>
    <phoneticPr fontId="43"/>
  </si>
  <si>
    <r>
      <t>Y=0.516×Qd1</t>
    </r>
    <r>
      <rPr>
        <vertAlign val="superscript"/>
        <sz val="11"/>
        <color theme="1"/>
        <rFont val="ＭＳ Ｐゴシック"/>
        <family val="3"/>
        <charset val="128"/>
      </rPr>
      <t>0.385</t>
    </r>
    <r>
      <rPr>
        <sz val="11"/>
        <color theme="1"/>
        <rFont val="游ゴシック"/>
        <family val="2"/>
        <charset val="128"/>
        <scheme val="minor"/>
      </rPr>
      <t>×100</t>
    </r>
    <phoneticPr fontId="43"/>
  </si>
  <si>
    <r>
      <t>Y=0.169×Qd1</t>
    </r>
    <r>
      <rPr>
        <vertAlign val="superscript"/>
        <sz val="11"/>
        <color theme="1"/>
        <rFont val="ＭＳ Ｐゴシック"/>
        <family val="3"/>
        <charset val="128"/>
      </rPr>
      <t>0.539</t>
    </r>
    <r>
      <rPr>
        <sz val="11"/>
        <color theme="1"/>
        <rFont val="游ゴシック"/>
        <family val="2"/>
        <charset val="128"/>
        <scheme val="minor"/>
      </rPr>
      <t>×100</t>
    </r>
    <phoneticPr fontId="43"/>
  </si>
  <si>
    <t>脱硫</t>
    <rPh sb="0" eb="2">
      <t>ダツリュウ</t>
    </rPh>
    <phoneticPr fontId="43"/>
  </si>
  <si>
    <r>
      <t>Y=0.878×g</t>
    </r>
    <r>
      <rPr>
        <vertAlign val="superscript"/>
        <sz val="11"/>
        <color theme="1"/>
        <rFont val="ＭＳ Ｐゴシック"/>
        <family val="3"/>
        <charset val="128"/>
      </rPr>
      <t>0.761</t>
    </r>
    <phoneticPr fontId="43"/>
  </si>
  <si>
    <t>ガスホルダ</t>
    <phoneticPr fontId="43"/>
  </si>
  <si>
    <r>
      <t>Y=10.4×V</t>
    </r>
    <r>
      <rPr>
        <vertAlign val="superscript"/>
        <sz val="11"/>
        <color theme="1"/>
        <rFont val="ＭＳ Ｐゴシック"/>
        <family val="3"/>
        <charset val="128"/>
      </rPr>
      <t>0.437</t>
    </r>
    <phoneticPr fontId="43"/>
  </si>
  <si>
    <t>脱水／消化なし
（革新的技術との差分）</t>
    <rPh sb="0" eb="2">
      <t>ダッスイ</t>
    </rPh>
    <rPh sb="3" eb="5">
      <t>ショウカ</t>
    </rPh>
    <rPh sb="9" eb="14">
      <t>カクシンテキギジュツ</t>
    </rPh>
    <rPh sb="16" eb="17">
      <t>サ</t>
    </rPh>
    <rPh sb="17" eb="18">
      <t>ブン</t>
    </rPh>
    <phoneticPr fontId="43"/>
  </si>
  <si>
    <r>
      <t>Y=0.434×Qd2</t>
    </r>
    <r>
      <rPr>
        <vertAlign val="superscript"/>
        <sz val="11"/>
        <color theme="1"/>
        <rFont val="ＭＳ Ｐゴシック"/>
        <family val="3"/>
        <charset val="128"/>
      </rPr>
      <t>0.373</t>
    </r>
    <r>
      <rPr>
        <sz val="11"/>
        <color theme="1"/>
        <rFont val="游ゴシック"/>
        <family val="2"/>
        <charset val="128"/>
        <scheme val="minor"/>
      </rPr>
      <t>×100</t>
    </r>
    <phoneticPr fontId="43"/>
  </si>
  <si>
    <r>
      <t>Y=0.227×Qd2</t>
    </r>
    <r>
      <rPr>
        <vertAlign val="superscript"/>
        <sz val="11"/>
        <color theme="1"/>
        <rFont val="ＭＳ Ｐゴシック"/>
        <family val="3"/>
        <charset val="128"/>
      </rPr>
      <t>0.444</t>
    </r>
    <r>
      <rPr>
        <sz val="11"/>
        <color theme="1"/>
        <rFont val="游ゴシック"/>
        <family val="2"/>
        <charset val="128"/>
        <scheme val="minor"/>
      </rPr>
      <t>×100</t>
    </r>
    <phoneticPr fontId="43"/>
  </si>
  <si>
    <t>脱水／消化あり
（革新的技術との差分）</t>
    <rPh sb="0" eb="2">
      <t>ダッスイ</t>
    </rPh>
    <rPh sb="3" eb="5">
      <t>ショウカ</t>
    </rPh>
    <rPh sb="9" eb="14">
      <t>カクシンテキギジュツ</t>
    </rPh>
    <rPh sb="16" eb="17">
      <t>サ</t>
    </rPh>
    <rPh sb="17" eb="18">
      <t>ブン</t>
    </rPh>
    <phoneticPr fontId="43"/>
  </si>
  <si>
    <t>バイオガス発電</t>
    <rPh sb="5" eb="7">
      <t>ハツデン</t>
    </rPh>
    <phoneticPr fontId="43"/>
  </si>
  <si>
    <t>Y=1.3132x</t>
    <phoneticPr fontId="43"/>
  </si>
  <si>
    <t>下水汚泥エネルギー化技術ガイドライン</t>
    <rPh sb="0" eb="4">
      <t>ゲスイオデイ</t>
    </rPh>
    <rPh sb="9" eb="12">
      <t>カギジュツ</t>
    </rPh>
    <phoneticPr fontId="43"/>
  </si>
  <si>
    <t>Y=0.0263x＋5.8284</t>
    <phoneticPr fontId="43"/>
  </si>
  <si>
    <t>合計</t>
    <rPh sb="0" eb="2">
      <t>ゴウケイ</t>
    </rPh>
    <phoneticPr fontId="43"/>
  </si>
  <si>
    <t>総額</t>
    <rPh sb="0" eb="2">
      <t>ソウガク</t>
    </rPh>
    <phoneticPr fontId="43"/>
  </si>
  <si>
    <t>百万円</t>
    <rPh sb="0" eb="3">
      <t>ヒャクマンエン</t>
    </rPh>
    <phoneticPr fontId="43"/>
  </si>
  <si>
    <t>－</t>
    <phoneticPr fontId="43"/>
  </si>
  <si>
    <t>年価</t>
    <rPh sb="0" eb="1">
      <t>ネン</t>
    </rPh>
    <rPh sb="1" eb="2">
      <t>カ</t>
    </rPh>
    <phoneticPr fontId="43"/>
  </si>
  <si>
    <t>高濃度消化
（濃縮含む）</t>
    <rPh sb="0" eb="3">
      <t>コウノウド</t>
    </rPh>
    <rPh sb="3" eb="5">
      <t>ショウカ</t>
    </rPh>
    <rPh sb="7" eb="9">
      <t>ノウシュク</t>
    </rPh>
    <rPh sb="9" eb="10">
      <t>フク</t>
    </rPh>
    <phoneticPr fontId="43"/>
  </si>
  <si>
    <t>機械・電気（消化槽本体）</t>
    <rPh sb="0" eb="2">
      <t>キカイ</t>
    </rPh>
    <rPh sb="3" eb="5">
      <t>デンキ</t>
    </rPh>
    <rPh sb="6" eb="8">
      <t>ショウカ</t>
    </rPh>
    <rPh sb="8" eb="9">
      <t>ソウ</t>
    </rPh>
    <rPh sb="9" eb="11">
      <t>ホンタイ</t>
    </rPh>
    <phoneticPr fontId="43"/>
  </si>
  <si>
    <r>
      <t>Y=63.2Q1</t>
    </r>
    <r>
      <rPr>
        <vertAlign val="superscript"/>
        <sz val="11"/>
        <color theme="1"/>
        <rFont val="ＭＳ Ｐゴシック"/>
        <family val="3"/>
        <charset val="128"/>
      </rPr>
      <t>0.677</t>
    </r>
    <phoneticPr fontId="43"/>
  </si>
  <si>
    <t>機械・電気（消化槽本体以外）</t>
    <rPh sb="0" eb="2">
      <t>キカイ</t>
    </rPh>
    <rPh sb="3" eb="5">
      <t>デンキ</t>
    </rPh>
    <rPh sb="6" eb="8">
      <t>ショウカ</t>
    </rPh>
    <rPh sb="8" eb="9">
      <t>ソウ</t>
    </rPh>
    <rPh sb="9" eb="11">
      <t>ホンタイ</t>
    </rPh>
    <rPh sb="11" eb="13">
      <t>イガイ</t>
    </rPh>
    <phoneticPr fontId="43"/>
  </si>
  <si>
    <r>
      <t>Y=195.8Q1</t>
    </r>
    <r>
      <rPr>
        <vertAlign val="superscript"/>
        <sz val="11"/>
        <color theme="1"/>
        <rFont val="ＭＳ Ｐゴシック"/>
        <family val="3"/>
        <charset val="128"/>
      </rPr>
      <t>0.531</t>
    </r>
    <phoneticPr fontId="43"/>
  </si>
  <si>
    <t>土木（消化槽）</t>
    <rPh sb="0" eb="2">
      <t>ドボク</t>
    </rPh>
    <rPh sb="3" eb="5">
      <t>ショウカ</t>
    </rPh>
    <rPh sb="5" eb="6">
      <t>ソウ</t>
    </rPh>
    <phoneticPr fontId="43"/>
  </si>
  <si>
    <r>
      <t>Y=19.6Q1</t>
    </r>
    <r>
      <rPr>
        <vertAlign val="superscript"/>
        <sz val="11"/>
        <color theme="1"/>
        <rFont val="ＭＳ Ｐゴシック"/>
        <family val="3"/>
        <charset val="128"/>
      </rPr>
      <t>0.586</t>
    </r>
    <phoneticPr fontId="43"/>
  </si>
  <si>
    <t>土木（消化槽以外）</t>
    <rPh sb="0" eb="2">
      <t>ドボク</t>
    </rPh>
    <rPh sb="3" eb="5">
      <t>ショウカ</t>
    </rPh>
    <rPh sb="5" eb="6">
      <t>ソウ</t>
    </rPh>
    <rPh sb="6" eb="8">
      <t>イガイ</t>
    </rPh>
    <phoneticPr fontId="43"/>
  </si>
  <si>
    <r>
      <t>Y=28.2Q1</t>
    </r>
    <r>
      <rPr>
        <vertAlign val="superscript"/>
        <sz val="11"/>
        <color theme="1"/>
        <rFont val="ＭＳ Ｐゴシック"/>
        <family val="3"/>
        <charset val="128"/>
      </rPr>
      <t>0.569</t>
    </r>
    <phoneticPr fontId="43"/>
  </si>
  <si>
    <t>省エネ型
バイオガス精製</t>
    <rPh sb="0" eb="1">
      <t>ショウ</t>
    </rPh>
    <rPh sb="3" eb="4">
      <t>ガタ</t>
    </rPh>
    <rPh sb="10" eb="12">
      <t>セイセイ</t>
    </rPh>
    <phoneticPr fontId="43"/>
  </si>
  <si>
    <r>
      <t>Y=39.6Q2</t>
    </r>
    <r>
      <rPr>
        <vertAlign val="superscript"/>
        <sz val="11"/>
        <color theme="1"/>
        <rFont val="ＭＳ Ｐゴシック"/>
        <family val="3"/>
        <charset val="128"/>
      </rPr>
      <t>0.255</t>
    </r>
    <phoneticPr fontId="43"/>
  </si>
  <si>
    <r>
      <t>Y=4.3Q2</t>
    </r>
    <r>
      <rPr>
        <vertAlign val="superscript"/>
        <sz val="11"/>
        <color theme="1"/>
        <rFont val="ＭＳ Ｐゴシック"/>
        <family val="3"/>
        <charset val="128"/>
      </rPr>
      <t>0.265</t>
    </r>
    <phoneticPr fontId="43"/>
  </si>
  <si>
    <t>小規模
水素製造・供給</t>
    <rPh sb="0" eb="3">
      <t>ショウキボ</t>
    </rPh>
    <rPh sb="4" eb="8">
      <t>スイソセイゾウ</t>
    </rPh>
    <rPh sb="9" eb="11">
      <t>キョウキュウ</t>
    </rPh>
    <phoneticPr fontId="43"/>
  </si>
  <si>
    <t>Y=271.8</t>
    <phoneticPr fontId="43"/>
  </si>
  <si>
    <t>Y=13.7</t>
    <phoneticPr fontId="43"/>
  </si>
  <si>
    <r>
      <t>Y=3.6Q2</t>
    </r>
    <r>
      <rPr>
        <vertAlign val="superscript"/>
        <sz val="11"/>
        <color theme="1"/>
        <rFont val="ＭＳ Ｐゴシック"/>
        <family val="3"/>
        <charset val="128"/>
      </rPr>
      <t>0.505</t>
    </r>
    <phoneticPr fontId="43"/>
  </si>
  <si>
    <r>
      <t>Y=0.219Q2</t>
    </r>
    <r>
      <rPr>
        <vertAlign val="superscript"/>
        <sz val="11"/>
        <color theme="1"/>
        <rFont val="ＭＳ Ｐゴシック"/>
        <family val="3"/>
        <charset val="128"/>
      </rPr>
      <t>0.596</t>
    </r>
    <phoneticPr fontId="43"/>
  </si>
  <si>
    <t>維持管理費</t>
    <rPh sb="0" eb="2">
      <t>イジ</t>
    </rPh>
    <rPh sb="2" eb="4">
      <t>カンリ</t>
    </rPh>
    <rPh sb="4" eb="5">
      <t>ヒ</t>
    </rPh>
    <phoneticPr fontId="43"/>
  </si>
  <si>
    <t>維持管理費</t>
    <rPh sb="0" eb="2">
      <t>イジ</t>
    </rPh>
    <rPh sb="2" eb="5">
      <t>カンリヒ</t>
    </rPh>
    <phoneticPr fontId="43"/>
  </si>
  <si>
    <r>
      <t>Y=0.030×（0.5×Qd0）</t>
    </r>
    <r>
      <rPr>
        <vertAlign val="superscript"/>
        <sz val="11"/>
        <color theme="1"/>
        <rFont val="ＭＳ Ｐゴシック"/>
        <family val="3"/>
        <charset val="128"/>
      </rPr>
      <t>0.628</t>
    </r>
    <phoneticPr fontId="43"/>
  </si>
  <si>
    <t>下水汚泥広域利活用検討マニュアル</t>
    <rPh sb="0" eb="11">
      <t>ゲスイオデイコウイキリカツヨウケントウ</t>
    </rPh>
    <phoneticPr fontId="43"/>
  </si>
  <si>
    <r>
      <t>Y=0.661×（0.5×Qd0）</t>
    </r>
    <r>
      <rPr>
        <vertAlign val="superscript"/>
        <sz val="11"/>
        <color theme="1"/>
        <rFont val="ＭＳ Ｐゴシック"/>
        <family val="3"/>
        <charset val="128"/>
      </rPr>
      <t>0.573</t>
    </r>
    <phoneticPr fontId="43"/>
  </si>
  <si>
    <t>脱硫・ガスホルダ含む</t>
    <rPh sb="0" eb="2">
      <t>ダツリュウ</t>
    </rPh>
    <rPh sb="8" eb="9">
      <t>フク</t>
    </rPh>
    <phoneticPr fontId="43"/>
  </si>
  <si>
    <r>
      <t>Y=0.171×（Qd1×365×0.8）</t>
    </r>
    <r>
      <rPr>
        <vertAlign val="superscript"/>
        <sz val="11"/>
        <color theme="1"/>
        <rFont val="ＭＳ Ｐゴシック"/>
        <family val="3"/>
        <charset val="128"/>
      </rPr>
      <t>0.390</t>
    </r>
    <phoneticPr fontId="43"/>
  </si>
  <si>
    <r>
      <t>Y=0.0796×g</t>
    </r>
    <r>
      <rPr>
        <vertAlign val="superscript"/>
        <sz val="11"/>
        <color theme="1"/>
        <rFont val="ＭＳ Ｐゴシック"/>
        <family val="3"/>
        <charset val="128"/>
      </rPr>
      <t>0.761</t>
    </r>
    <phoneticPr fontId="43"/>
  </si>
  <si>
    <r>
      <t>Y=0.283×V</t>
    </r>
    <r>
      <rPr>
        <vertAlign val="superscript"/>
        <sz val="11"/>
        <color theme="1"/>
        <rFont val="ＭＳ Ｐゴシック"/>
        <family val="3"/>
        <charset val="128"/>
      </rPr>
      <t>0.302</t>
    </r>
    <phoneticPr fontId="43"/>
  </si>
  <si>
    <t>脱水／消化なし（革新的技術との差分）</t>
    <rPh sb="0" eb="2">
      <t>ダッスイ</t>
    </rPh>
    <rPh sb="3" eb="5">
      <t>ショウカ</t>
    </rPh>
    <rPh sb="8" eb="13">
      <t>カクシンテキギジュツ</t>
    </rPh>
    <rPh sb="15" eb="16">
      <t>サ</t>
    </rPh>
    <rPh sb="16" eb="17">
      <t>ブン</t>
    </rPh>
    <phoneticPr fontId="43"/>
  </si>
  <si>
    <r>
      <t>Y=0.039×（Qd2×365×0.8）</t>
    </r>
    <r>
      <rPr>
        <vertAlign val="superscript"/>
        <sz val="11"/>
        <color theme="1"/>
        <rFont val="ＭＳ Ｐゴシック"/>
        <family val="3"/>
        <charset val="128"/>
      </rPr>
      <t>0.596</t>
    </r>
    <phoneticPr fontId="43"/>
  </si>
  <si>
    <t>下水汚泥広域利活用検討マニュアル</t>
    <phoneticPr fontId="43"/>
  </si>
  <si>
    <t>脱水／消化あり（革新的技術との差分）</t>
    <rPh sb="0" eb="2">
      <t>ダッスイ</t>
    </rPh>
    <rPh sb="3" eb="5">
      <t>ショウカ</t>
    </rPh>
    <rPh sb="8" eb="13">
      <t>カクシンテキギジュツ</t>
    </rPh>
    <rPh sb="15" eb="16">
      <t>サ</t>
    </rPh>
    <rPh sb="16" eb="17">
      <t>ブン</t>
    </rPh>
    <phoneticPr fontId="43"/>
  </si>
  <si>
    <t>脱水汚泥処分費／消化なし
（革新的技術との差分）</t>
    <rPh sb="0" eb="2">
      <t>ダッスイ</t>
    </rPh>
    <rPh sb="2" eb="4">
      <t>オデイ</t>
    </rPh>
    <rPh sb="4" eb="6">
      <t>ショブン</t>
    </rPh>
    <rPh sb="6" eb="7">
      <t>ヒ</t>
    </rPh>
    <rPh sb="8" eb="10">
      <t>ショウカ</t>
    </rPh>
    <rPh sb="14" eb="19">
      <t>カクシンテキギジュツ</t>
    </rPh>
    <rPh sb="21" eb="22">
      <t>サ</t>
    </rPh>
    <rPh sb="22" eb="23">
      <t>ブン</t>
    </rPh>
    <phoneticPr fontId="43"/>
  </si>
  <si>
    <r>
      <t>Y=1/(100－W）×（Qd2×0.9×365
×0.8）×F/10</t>
    </r>
    <r>
      <rPr>
        <vertAlign val="superscript"/>
        <sz val="11"/>
        <color theme="1"/>
        <rFont val="ＭＳ Ｐゴシック"/>
        <family val="3"/>
        <charset val="128"/>
      </rPr>
      <t>6</t>
    </r>
    <phoneticPr fontId="43"/>
  </si>
  <si>
    <t>W：脱水汚泥含水率（％）
　　諸元値【試算条件】欄を参照
革新的技術ではポリ硫酸第二鉄添加による脱水汚泥固形物量増を考慮</t>
    <rPh sb="2" eb="4">
      <t>ダッスイ</t>
    </rPh>
    <rPh sb="4" eb="6">
      <t>オデイ</t>
    </rPh>
    <rPh sb="6" eb="8">
      <t>ガンスイ</t>
    </rPh>
    <rPh sb="8" eb="9">
      <t>リツ</t>
    </rPh>
    <rPh sb="15" eb="17">
      <t>ショゲン</t>
    </rPh>
    <rPh sb="17" eb="18">
      <t>チ</t>
    </rPh>
    <rPh sb="19" eb="21">
      <t>シサン</t>
    </rPh>
    <rPh sb="21" eb="23">
      <t>ジョウケン</t>
    </rPh>
    <rPh sb="24" eb="25">
      <t>ラン</t>
    </rPh>
    <rPh sb="26" eb="28">
      <t>サンショウ</t>
    </rPh>
    <rPh sb="30" eb="35">
      <t>カクシンテキギジュツ</t>
    </rPh>
    <rPh sb="39" eb="44">
      <t>リュウサンダイニテツ</t>
    </rPh>
    <rPh sb="44" eb="46">
      <t>テンカ</t>
    </rPh>
    <rPh sb="49" eb="51">
      <t>ダッスイ</t>
    </rPh>
    <rPh sb="51" eb="53">
      <t>オデイ</t>
    </rPh>
    <rPh sb="53" eb="56">
      <t>コケイブツ</t>
    </rPh>
    <rPh sb="56" eb="57">
      <t>リョウ</t>
    </rPh>
    <rPh sb="57" eb="58">
      <t>ゾウ</t>
    </rPh>
    <rPh sb="59" eb="61">
      <t>コウリョ</t>
    </rPh>
    <phoneticPr fontId="43"/>
  </si>
  <si>
    <t>脱水汚泥処分費／消化あり
（革新的技術との差分）</t>
    <rPh sb="0" eb="2">
      <t>ダッスイ</t>
    </rPh>
    <rPh sb="2" eb="4">
      <t>オデイ</t>
    </rPh>
    <rPh sb="4" eb="6">
      <t>ショブン</t>
    </rPh>
    <rPh sb="6" eb="7">
      <t>ヒ</t>
    </rPh>
    <rPh sb="8" eb="10">
      <t>ショウカ</t>
    </rPh>
    <rPh sb="14" eb="19">
      <t>カクシンテキギジュツ</t>
    </rPh>
    <rPh sb="21" eb="22">
      <t>サ</t>
    </rPh>
    <rPh sb="22" eb="23">
      <t>ブン</t>
    </rPh>
    <phoneticPr fontId="43"/>
  </si>
  <si>
    <t>Y=0.0579x</t>
    <phoneticPr fontId="43"/>
  </si>
  <si>
    <t>バイオガス発電　電力費縮減額</t>
    <rPh sb="5" eb="7">
      <t>ハツデン</t>
    </rPh>
    <rPh sb="8" eb="10">
      <t>デンリョク</t>
    </rPh>
    <rPh sb="10" eb="11">
      <t>ヒ</t>
    </rPh>
    <rPh sb="11" eb="13">
      <t>シュクゲン</t>
    </rPh>
    <rPh sb="13" eb="14">
      <t>ガク</t>
    </rPh>
    <phoneticPr fontId="43"/>
  </si>
  <si>
    <r>
      <t>Y=Qd1/100×0.8×0.8×500
×21.5×0.32×0.9/3.6×355×16.5/10</t>
    </r>
    <r>
      <rPr>
        <vertAlign val="superscript"/>
        <sz val="10"/>
        <color theme="1"/>
        <rFont val="ＭＳ Ｐゴシック"/>
        <family val="3"/>
        <charset val="128"/>
      </rPr>
      <t>6</t>
    </r>
    <phoneticPr fontId="43"/>
  </si>
  <si>
    <t>共通</t>
    <rPh sb="0" eb="2">
      <t>キョウツウ</t>
    </rPh>
    <phoneticPr fontId="43"/>
  </si>
  <si>
    <t>重力濃縮</t>
    <rPh sb="0" eb="4">
      <t>ジュウリョクノウシュク</t>
    </rPh>
    <phoneticPr fontId="43"/>
  </si>
  <si>
    <r>
      <t>Y=0.35Q1</t>
    </r>
    <r>
      <rPr>
        <vertAlign val="superscript"/>
        <sz val="11"/>
        <color theme="1"/>
        <rFont val="ＭＳ Ｐゴシック"/>
        <family val="3"/>
        <charset val="128"/>
      </rPr>
      <t>0.628</t>
    </r>
    <phoneticPr fontId="43"/>
  </si>
  <si>
    <t>電力費</t>
    <rPh sb="0" eb="2">
      <t>デンリョク</t>
    </rPh>
    <rPh sb="2" eb="3">
      <t>ヒ</t>
    </rPh>
    <phoneticPr fontId="43"/>
  </si>
  <si>
    <r>
      <t>Y=0.73Q1</t>
    </r>
    <r>
      <rPr>
        <vertAlign val="superscript"/>
        <sz val="11"/>
        <color theme="1"/>
        <rFont val="ＭＳ Ｐゴシック"/>
        <family val="3"/>
        <charset val="128"/>
      </rPr>
      <t>0.887</t>
    </r>
    <r>
      <rPr>
        <sz val="11"/>
        <color theme="1"/>
        <rFont val="游ゴシック"/>
        <family val="2"/>
        <charset val="128"/>
        <scheme val="minor"/>
      </rPr>
      <t>×（A/16.5）</t>
    </r>
    <phoneticPr fontId="43"/>
  </si>
  <si>
    <t>薬品費</t>
    <rPh sb="0" eb="2">
      <t>ヤクヒン</t>
    </rPh>
    <rPh sb="2" eb="3">
      <t>ヒ</t>
    </rPh>
    <phoneticPr fontId="43"/>
  </si>
  <si>
    <t>Y=0.58Q1×（B/566）＋1.51Q1×（D/38.9）</t>
    <phoneticPr fontId="43"/>
  </si>
  <si>
    <t>補修費</t>
    <rPh sb="0" eb="2">
      <t>ホシュウ</t>
    </rPh>
    <rPh sb="2" eb="3">
      <t>ヒ</t>
    </rPh>
    <phoneticPr fontId="43"/>
  </si>
  <si>
    <r>
      <t>Y=2.7Q1</t>
    </r>
    <r>
      <rPr>
        <vertAlign val="superscript"/>
        <sz val="11"/>
        <color theme="1"/>
        <rFont val="ＭＳ Ｐゴシック"/>
        <family val="3"/>
        <charset val="128"/>
      </rPr>
      <t>0.509</t>
    </r>
    <phoneticPr fontId="43"/>
  </si>
  <si>
    <t>Y=7.0×（E/7.0）</t>
    <phoneticPr fontId="43"/>
  </si>
  <si>
    <r>
      <t>Y=0.62Q2</t>
    </r>
    <r>
      <rPr>
        <vertAlign val="superscript"/>
        <sz val="11"/>
        <color theme="1"/>
        <rFont val="ＭＳ Ｐゴシック"/>
        <family val="3"/>
        <charset val="128"/>
      </rPr>
      <t>0.285</t>
    </r>
    <r>
      <rPr>
        <sz val="11"/>
        <color theme="1"/>
        <rFont val="游ゴシック"/>
        <family val="2"/>
        <charset val="128"/>
        <scheme val="minor"/>
      </rPr>
      <t>×（A/16.5）</t>
    </r>
    <phoneticPr fontId="43"/>
  </si>
  <si>
    <t>上水費</t>
    <rPh sb="0" eb="2">
      <t>ジョウスイ</t>
    </rPh>
    <rPh sb="2" eb="3">
      <t>ヒ</t>
    </rPh>
    <phoneticPr fontId="43"/>
  </si>
  <si>
    <t>Y=4.3×（C/309.1）</t>
    <phoneticPr fontId="43"/>
  </si>
  <si>
    <r>
      <t>Y=1.9Q2</t>
    </r>
    <r>
      <rPr>
        <vertAlign val="superscript"/>
        <sz val="11"/>
        <color theme="1"/>
        <rFont val="ＭＳ Ｐゴシック"/>
        <family val="3"/>
        <charset val="128"/>
      </rPr>
      <t>0.195</t>
    </r>
    <phoneticPr fontId="43"/>
  </si>
  <si>
    <r>
      <t>Y=0.026Q2</t>
    </r>
    <r>
      <rPr>
        <vertAlign val="superscript"/>
        <sz val="11"/>
        <color theme="1"/>
        <rFont val="ＭＳ Ｐゴシック"/>
        <family val="3"/>
        <charset val="128"/>
      </rPr>
      <t>0.771</t>
    </r>
    <phoneticPr fontId="43"/>
  </si>
  <si>
    <t>電力費縮減</t>
    <rPh sb="0" eb="2">
      <t>デンリョク</t>
    </rPh>
    <rPh sb="2" eb="3">
      <t>ヒ</t>
    </rPh>
    <rPh sb="3" eb="5">
      <t>シュクゲン</t>
    </rPh>
    <phoneticPr fontId="43"/>
  </si>
  <si>
    <t>Y=0.0092Q2×（A/16.5）</t>
    <phoneticPr fontId="43"/>
  </si>
  <si>
    <t>電力費縮減</t>
    <rPh sb="0" eb="5">
      <t>デンリョクヒシュクゲン</t>
    </rPh>
    <phoneticPr fontId="43"/>
  </si>
  <si>
    <r>
      <t>Y=0.0087Q2</t>
    </r>
    <r>
      <rPr>
        <vertAlign val="superscript"/>
        <sz val="11"/>
        <color theme="1"/>
        <rFont val="ＭＳ Ｐゴシック"/>
        <family val="3"/>
        <charset val="128"/>
      </rPr>
      <t>1.007</t>
    </r>
    <r>
      <rPr>
        <sz val="11"/>
        <color theme="1"/>
        <rFont val="游ゴシック"/>
        <family val="2"/>
        <charset val="128"/>
        <scheme val="minor"/>
      </rPr>
      <t>×（A/16.5）</t>
    </r>
    <phoneticPr fontId="43"/>
  </si>
  <si>
    <t>Y=1.0×（A/16.5）</t>
    <phoneticPr fontId="43"/>
  </si>
  <si>
    <t>Y=0.0055×（C/309.1）</t>
    <phoneticPr fontId="43"/>
  </si>
  <si>
    <t>Y=8.4</t>
    <phoneticPr fontId="43"/>
  </si>
  <si>
    <t>薬品費は高濃度濃縮工程のみ計上</t>
    <rPh sb="0" eb="2">
      <t>ヤクヒン</t>
    </rPh>
    <rPh sb="2" eb="3">
      <t>ヒ</t>
    </rPh>
    <rPh sb="4" eb="7">
      <t>コウノウド</t>
    </rPh>
    <rPh sb="7" eb="9">
      <t>ノウシュク</t>
    </rPh>
    <rPh sb="9" eb="11">
      <t>コウテイ</t>
    </rPh>
    <rPh sb="13" eb="15">
      <t>ケイジョウ</t>
    </rPh>
    <phoneticPr fontId="43"/>
  </si>
  <si>
    <t>エネルギー収支（創出量－消費量）</t>
    <rPh sb="5" eb="7">
      <t>シュウシ</t>
    </rPh>
    <rPh sb="8" eb="10">
      <t>ソウシュツ</t>
    </rPh>
    <rPh sb="10" eb="11">
      <t>リョウ</t>
    </rPh>
    <rPh sb="12" eb="15">
      <t>ショウヒリョウ</t>
    </rPh>
    <phoneticPr fontId="43"/>
  </si>
  <si>
    <t>エネルギー収支</t>
    <rPh sb="5" eb="7">
      <t>シュウシ</t>
    </rPh>
    <phoneticPr fontId="43"/>
  </si>
  <si>
    <t>Y=7×（0.5×Qd0×0.8）×0.01×9.484×365/1000</t>
    <phoneticPr fontId="43"/>
  </si>
  <si>
    <t>下水道革新的技術実証事業説明書
（平成30年度）</t>
    <rPh sb="0" eb="8">
      <t>ゲスイドウカクシンテキギジュツ</t>
    </rPh>
    <rPh sb="8" eb="10">
      <t>ジッショウ</t>
    </rPh>
    <rPh sb="10" eb="12">
      <t>ジギョウ</t>
    </rPh>
    <rPh sb="12" eb="15">
      <t>セツメイショ</t>
    </rPh>
    <rPh sb="17" eb="19">
      <t>ヘイセイ</t>
    </rPh>
    <rPh sb="21" eb="23">
      <t>ネンド</t>
    </rPh>
    <phoneticPr fontId="43"/>
  </si>
  <si>
    <t>Y=212×（0.5×Qd0×0.8）×0.01×9.484×365/1000</t>
    <phoneticPr fontId="43"/>
  </si>
  <si>
    <t>Y=5.3×（Qd1*0.8/3.3）×9.484×365/1000</t>
    <phoneticPr fontId="43"/>
  </si>
  <si>
    <t>消化槽投入汚泥濃度3.3%
下水汚泥エネルギー化技術ガイドライン</t>
    <rPh sb="0" eb="2">
      <t>ショウカ</t>
    </rPh>
    <rPh sb="2" eb="3">
      <t>ソウ</t>
    </rPh>
    <rPh sb="3" eb="5">
      <t>トウニュウ</t>
    </rPh>
    <rPh sb="5" eb="7">
      <t>オデイ</t>
    </rPh>
    <rPh sb="7" eb="9">
      <t>ノウド</t>
    </rPh>
    <rPh sb="14" eb="18">
      <t>ゲスイオデイ</t>
    </rPh>
    <rPh sb="23" eb="26">
      <t>カギジュツ</t>
    </rPh>
    <phoneticPr fontId="43"/>
  </si>
  <si>
    <t>脱水
（革新的技術との差分）</t>
    <rPh sb="0" eb="2">
      <t>ダッスイ</t>
    </rPh>
    <rPh sb="4" eb="9">
      <t>カクシンテキギジュツ</t>
    </rPh>
    <rPh sb="11" eb="12">
      <t>サ</t>
    </rPh>
    <rPh sb="12" eb="13">
      <t>ブン</t>
    </rPh>
    <phoneticPr fontId="43"/>
  </si>
  <si>
    <r>
      <t>直接脱水：
Y=1575.4×（Qd2/100×0.8×365）</t>
    </r>
    <r>
      <rPr>
        <vertAlign val="superscript"/>
        <sz val="8"/>
        <color theme="1"/>
        <rFont val="ＭＳ Ｐゴシック"/>
        <family val="3"/>
        <charset val="128"/>
      </rPr>
      <t>0.6723</t>
    </r>
    <r>
      <rPr>
        <sz val="8"/>
        <color theme="1"/>
        <rFont val="ＭＳ Ｐゴシック"/>
        <family val="3"/>
        <charset val="128"/>
      </rPr>
      <t>×9.484/1000
消化脱水：
Y=62.631×（Qd2/100×0.8×365）</t>
    </r>
    <r>
      <rPr>
        <vertAlign val="superscript"/>
        <sz val="8"/>
        <color theme="1"/>
        <rFont val="ＭＳ Ｐゴシック"/>
        <family val="3"/>
        <charset val="128"/>
      </rPr>
      <t>1.2091</t>
    </r>
    <r>
      <rPr>
        <sz val="8"/>
        <color theme="1"/>
        <rFont val="ＭＳ Ｐゴシック"/>
        <family val="3"/>
        <charset val="128"/>
      </rPr>
      <t>×9.484/1000</t>
    </r>
    <rPh sb="0" eb="2">
      <t>チョクセツ</t>
    </rPh>
    <rPh sb="2" eb="4">
      <t>ダッスイ</t>
    </rPh>
    <rPh sb="50" eb="52">
      <t>ショウカ</t>
    </rPh>
    <rPh sb="52" eb="54">
      <t>ダッスイ</t>
    </rPh>
    <phoneticPr fontId="43"/>
  </si>
  <si>
    <t>Y=Qd1/100×0.8×0.8×500×21.5
×0.32×0.9/3.6×355×9.484/1000</t>
    <phoneticPr fontId="43"/>
  </si>
  <si>
    <t>消費量</t>
    <rPh sb="0" eb="3">
      <t>ショウヒリョウ</t>
    </rPh>
    <phoneticPr fontId="43"/>
  </si>
  <si>
    <t>高濃度消化</t>
    <rPh sb="0" eb="5">
      <t>コウノウドショウカ</t>
    </rPh>
    <phoneticPr fontId="43"/>
  </si>
  <si>
    <r>
      <t>Y=428Q1</t>
    </r>
    <r>
      <rPr>
        <vertAlign val="superscript"/>
        <sz val="11"/>
        <color theme="1"/>
        <rFont val="ＭＳ Ｐゴシック"/>
        <family val="3"/>
        <charset val="128"/>
      </rPr>
      <t>0.889</t>
    </r>
    <phoneticPr fontId="43"/>
  </si>
  <si>
    <t>省エネ型バイオガス精製</t>
    <rPh sb="0" eb="1">
      <t>ショウ</t>
    </rPh>
    <rPh sb="3" eb="4">
      <t>ガタ</t>
    </rPh>
    <rPh sb="9" eb="11">
      <t>セイセイ</t>
    </rPh>
    <phoneticPr fontId="43"/>
  </si>
  <si>
    <r>
      <t>Y=359Q2</t>
    </r>
    <r>
      <rPr>
        <vertAlign val="superscript"/>
        <sz val="11"/>
        <color theme="1"/>
        <rFont val="ＭＳ Ｐゴシック"/>
        <family val="3"/>
        <charset val="128"/>
      </rPr>
      <t>0.285</t>
    </r>
    <phoneticPr fontId="43"/>
  </si>
  <si>
    <t>創出量</t>
    <rPh sb="0" eb="2">
      <t>ソウシュツ</t>
    </rPh>
    <rPh sb="2" eb="3">
      <t>リョウ</t>
    </rPh>
    <phoneticPr fontId="43"/>
  </si>
  <si>
    <t>Y=5.3Q2</t>
    <phoneticPr fontId="43"/>
  </si>
  <si>
    <t>小規模水素製造・供給</t>
    <rPh sb="0" eb="7">
      <t>ショウキボスイソセイゾウ</t>
    </rPh>
    <rPh sb="8" eb="10">
      <t>キョウキュウ</t>
    </rPh>
    <phoneticPr fontId="43"/>
  </si>
  <si>
    <t>Y=562</t>
    <phoneticPr fontId="43"/>
  </si>
  <si>
    <t>創出量</t>
    <rPh sb="0" eb="3">
      <t>ソウシュツリョウ</t>
    </rPh>
    <phoneticPr fontId="43"/>
  </si>
  <si>
    <r>
      <t>Y=5.0Q2</t>
    </r>
    <r>
      <rPr>
        <vertAlign val="superscript"/>
        <sz val="11"/>
        <color theme="1"/>
        <rFont val="ＭＳ Ｐゴシック"/>
        <family val="3"/>
        <charset val="128"/>
      </rPr>
      <t>1.007</t>
    </r>
    <phoneticPr fontId="43"/>
  </si>
  <si>
    <t>水素供給</t>
    <rPh sb="0" eb="2">
      <t>スイソ</t>
    </rPh>
    <rPh sb="2" eb="4">
      <t>キョウキュウ</t>
    </rPh>
    <phoneticPr fontId="43"/>
  </si>
  <si>
    <t>Y=65.8</t>
    <phoneticPr fontId="43"/>
  </si>
  <si>
    <t>温室効果ガス収支（排出量－排出削減量）</t>
    <rPh sb="0" eb="2">
      <t>オンシツ</t>
    </rPh>
    <rPh sb="2" eb="4">
      <t>コウカ</t>
    </rPh>
    <rPh sb="6" eb="8">
      <t>シュウシ</t>
    </rPh>
    <rPh sb="9" eb="11">
      <t>ハイシュツ</t>
    </rPh>
    <rPh sb="11" eb="12">
      <t>リョウ</t>
    </rPh>
    <rPh sb="13" eb="15">
      <t>ハイシュツ</t>
    </rPh>
    <rPh sb="15" eb="17">
      <t>サクゲン</t>
    </rPh>
    <rPh sb="17" eb="18">
      <t>リョウ</t>
    </rPh>
    <phoneticPr fontId="43"/>
  </si>
  <si>
    <r>
      <t>CO</t>
    </r>
    <r>
      <rPr>
        <vertAlign val="subscript"/>
        <sz val="11"/>
        <color theme="1"/>
        <rFont val="ＭＳ Ｐゴシック"/>
        <family val="3"/>
        <charset val="128"/>
      </rPr>
      <t>2</t>
    </r>
    <r>
      <rPr>
        <sz val="11"/>
        <color theme="1"/>
        <rFont val="游ゴシック"/>
        <family val="2"/>
        <charset val="128"/>
        <scheme val="minor"/>
      </rPr>
      <t>収支</t>
    </r>
    <rPh sb="3" eb="5">
      <t>シュウシ</t>
    </rPh>
    <phoneticPr fontId="43"/>
  </si>
  <si>
    <t>排出</t>
    <rPh sb="0" eb="2">
      <t>ハイシュツ</t>
    </rPh>
    <phoneticPr fontId="43"/>
  </si>
  <si>
    <t>Y=エネルギー消費量[GJ/年]
/9.484×1000×a</t>
    <rPh sb="7" eb="10">
      <t>ショウヒリョウ</t>
    </rPh>
    <rPh sb="14" eb="15">
      <t>ネン</t>
    </rPh>
    <phoneticPr fontId="43"/>
  </si>
  <si>
    <t>高分子凝集剤</t>
    <rPh sb="0" eb="3">
      <t>コウブンシ</t>
    </rPh>
    <rPh sb="3" eb="5">
      <t>ギョウシュウ</t>
    </rPh>
    <rPh sb="5" eb="6">
      <t>ザイ</t>
    </rPh>
    <phoneticPr fontId="43"/>
  </si>
  <si>
    <t>Y=（Qd0/100×0.8×0.5×0.3/100
＋Qd2/100×0.8×1.2/100）×365×b</t>
    <phoneticPr fontId="43"/>
  </si>
  <si>
    <t>Y=Qd1/100×0.8×0.8×500/600000×355×e</t>
    <phoneticPr fontId="43"/>
  </si>
  <si>
    <t>排出削減</t>
    <rPh sb="0" eb="2">
      <t>ハイシュツ</t>
    </rPh>
    <rPh sb="2" eb="4">
      <t>サクゲン</t>
    </rPh>
    <phoneticPr fontId="43"/>
  </si>
  <si>
    <t>Y=発電量[GJ/年]/9.484×1000×a</t>
    <rPh sb="2" eb="4">
      <t>ハツデン</t>
    </rPh>
    <rPh sb="4" eb="5">
      <t>リョウ</t>
    </rPh>
    <rPh sb="9" eb="10">
      <t>ネン</t>
    </rPh>
    <phoneticPr fontId="43"/>
  </si>
  <si>
    <t>高分子凝集剤は機械濃縮工程のみ計上</t>
    <rPh sb="0" eb="6">
      <t>コウブンシギョウシュウザイ</t>
    </rPh>
    <rPh sb="7" eb="9">
      <t>キカイ</t>
    </rPh>
    <rPh sb="9" eb="11">
      <t>ノウシュク</t>
    </rPh>
    <rPh sb="11" eb="13">
      <t>コウテイ</t>
    </rPh>
    <rPh sb="15" eb="17">
      <t>ケイジョウ</t>
    </rPh>
    <phoneticPr fontId="43"/>
  </si>
  <si>
    <r>
      <t>Y=110.3Q1</t>
    </r>
    <r>
      <rPr>
        <vertAlign val="superscript"/>
        <sz val="11"/>
        <color theme="1"/>
        <rFont val="ＭＳ Ｐゴシック"/>
        <family val="3"/>
        <charset val="128"/>
      </rPr>
      <t>0.513</t>
    </r>
    <r>
      <rPr>
        <sz val="11"/>
        <color theme="1"/>
        <rFont val="游ゴシック"/>
        <family val="2"/>
        <charset val="128"/>
        <scheme val="minor"/>
      </rPr>
      <t>×（a/0.000488）</t>
    </r>
    <phoneticPr fontId="43"/>
  </si>
  <si>
    <t>Y=27.6×（c/0.0020）</t>
    <phoneticPr fontId="43"/>
  </si>
  <si>
    <t>Y=21.8Q1×（b/6.5）</t>
    <phoneticPr fontId="43"/>
  </si>
  <si>
    <t>ポリ硫酸第二鉄</t>
    <rPh sb="2" eb="4">
      <t>リュウサン</t>
    </rPh>
    <rPh sb="4" eb="7">
      <t>ダイニテツ</t>
    </rPh>
    <phoneticPr fontId="43"/>
  </si>
  <si>
    <t>Y=1.2Q1×（d/0.0308）</t>
    <phoneticPr fontId="43"/>
  </si>
  <si>
    <r>
      <t>Y=0.037Q1</t>
    </r>
    <r>
      <rPr>
        <vertAlign val="superscript"/>
        <sz val="11"/>
        <color theme="1"/>
        <rFont val="ＭＳ Ｐゴシック"/>
        <family val="3"/>
        <charset val="128"/>
      </rPr>
      <t>1.031</t>
    </r>
    <r>
      <rPr>
        <sz val="11"/>
        <color theme="1"/>
        <rFont val="游ゴシック"/>
        <family val="2"/>
        <charset val="128"/>
        <scheme val="minor"/>
      </rPr>
      <t>×（e/0.26）</t>
    </r>
    <phoneticPr fontId="43"/>
  </si>
  <si>
    <t>Y=103.9Q1×（a/0.000488）</t>
    <phoneticPr fontId="43"/>
  </si>
  <si>
    <r>
      <t>Y=133.8Q1</t>
    </r>
    <r>
      <rPr>
        <vertAlign val="superscript"/>
        <sz val="11"/>
        <color theme="1"/>
        <rFont val="ＭＳ Ｐゴシック"/>
        <family val="3"/>
        <charset val="128"/>
      </rPr>
      <t>0.462</t>
    </r>
    <r>
      <rPr>
        <sz val="11"/>
        <color theme="1"/>
        <rFont val="游ゴシック"/>
        <family val="2"/>
        <charset val="128"/>
        <scheme val="minor"/>
      </rPr>
      <t>×（a/0.000488）</t>
    </r>
    <phoneticPr fontId="43"/>
  </si>
  <si>
    <t>排出削減</t>
    <rPh sb="0" eb="4">
      <t>ハイシュツサクゲン</t>
    </rPh>
    <phoneticPr fontId="43"/>
  </si>
  <si>
    <t>Y=4.5×（f/2.32）</t>
    <phoneticPr fontId="43"/>
  </si>
  <si>
    <r>
      <t>Y=101.9Q1</t>
    </r>
    <r>
      <rPr>
        <vertAlign val="superscript"/>
        <sz val="11"/>
        <color theme="1"/>
        <rFont val="ＭＳ Ｐゴシック"/>
        <family val="3"/>
        <charset val="128"/>
      </rPr>
      <t>1.007</t>
    </r>
    <r>
      <rPr>
        <sz val="11"/>
        <color theme="1"/>
        <rFont val="游ゴシック"/>
        <family val="2"/>
        <charset val="128"/>
        <scheme val="minor"/>
      </rPr>
      <t>×（a/0.000488）</t>
    </r>
    <phoneticPr fontId="43"/>
  </si>
  <si>
    <t>高分子凝集剤は高濃度濃縮工程のみ計上</t>
    <rPh sb="0" eb="6">
      <t>コウブンシギョウシュウザイ</t>
    </rPh>
    <rPh sb="7" eb="10">
      <t>コウノウド</t>
    </rPh>
    <rPh sb="10" eb="12">
      <t>ノウシュク</t>
    </rPh>
    <rPh sb="12" eb="14">
      <t>コウテイ</t>
    </rPh>
    <rPh sb="16" eb="18">
      <t>ケイジョウ</t>
    </rPh>
    <phoneticPr fontId="43"/>
  </si>
  <si>
    <t>・削減効果出典元 「小規模処理場を対象とした低コスト・省エネルギー型高濃度メタン発酵技術に関する実証事業」ガイドライン p48より</t>
    <rPh sb="1" eb="5">
      <t>サクゲンコウカ</t>
    </rPh>
    <rPh sb="5" eb="8">
      <t>シュッテンモト</t>
    </rPh>
    <phoneticPr fontId="2"/>
  </si>
  <si>
    <t>従来技術</t>
    <rPh sb="0" eb="2">
      <t>ジュウライ</t>
    </rPh>
    <rPh sb="2" eb="4">
      <t>ギジュツ</t>
    </rPh>
    <phoneticPr fontId="2"/>
  </si>
  <si>
    <t>本技術</t>
    <rPh sb="0" eb="3">
      <t>ホンギジュツ</t>
    </rPh>
    <phoneticPr fontId="2"/>
  </si>
  <si>
    <t>削減率(%)</t>
    <rPh sb="0" eb="3">
      <t>サクゲンリツ</t>
    </rPh>
    <phoneticPr fontId="2"/>
  </si>
  <si>
    <t>総計(t-CO₂/年)</t>
    <rPh sb="0" eb="2">
      <t>ソウケイ</t>
    </rPh>
    <rPh sb="4" eb="5">
      <t>ネン</t>
    </rPh>
    <phoneticPr fontId="2"/>
  </si>
  <si>
    <t>従来
消化なし</t>
    <rPh sb="0" eb="2">
      <t>ジュウライ</t>
    </rPh>
    <rPh sb="3" eb="5">
      <t>ショウカ</t>
    </rPh>
    <phoneticPr fontId="2"/>
  </si>
  <si>
    <t>従来
消化あり</t>
    <rPh sb="0" eb="2">
      <t>ジュウライ</t>
    </rPh>
    <rPh sb="3" eb="5">
      <t>ショウカ</t>
    </rPh>
    <phoneticPr fontId="2"/>
  </si>
  <si>
    <t>検討技術の詳細は「小規模処理場を対象とした低コスト・省エネルギー型高濃度メタン発酵技術に関する実証事業」を参照してください</t>
    <rPh sb="0" eb="2">
      <t>ケントウ</t>
    </rPh>
    <rPh sb="2" eb="4">
      <t>ギジュツ</t>
    </rPh>
    <rPh sb="5" eb="7">
      <t>ショウサイ</t>
    </rPh>
    <rPh sb="53" eb="55">
      <t>サンショウ</t>
    </rPh>
    <phoneticPr fontId="2"/>
  </si>
  <si>
    <t>濃縮設備、消化設備、機械脱水設備</t>
    <rPh sb="0" eb="2">
      <t>ノウシュク</t>
    </rPh>
    <rPh sb="2" eb="4">
      <t>セツビ</t>
    </rPh>
    <rPh sb="5" eb="7">
      <t>ショウカ</t>
    </rPh>
    <rPh sb="7" eb="9">
      <t>セツビ</t>
    </rPh>
    <rPh sb="10" eb="12">
      <t>キカイ</t>
    </rPh>
    <rPh sb="12" eb="14">
      <t>ダッスイ</t>
    </rPh>
    <rPh sb="14" eb="16">
      <t>セツビ</t>
    </rPh>
    <phoneticPr fontId="2"/>
  </si>
  <si>
    <t>【B－DASH】高濃度消化・省エネ型バイオガス精製による効率的エネルギー利活用技術</t>
    <phoneticPr fontId="2"/>
  </si>
  <si>
    <t>日平均汚水量 20,000m³/日以上の処理場</t>
    <rPh sb="0" eb="3">
      <t>ニチヘイキン</t>
    </rPh>
    <rPh sb="3" eb="6">
      <t>オスイリョウ</t>
    </rPh>
    <rPh sb="16" eb="17">
      <t>ニチ</t>
    </rPh>
    <rPh sb="17" eb="19">
      <t>イジョウ</t>
    </rPh>
    <rPh sb="20" eb="23">
      <t>ショリジョウ</t>
    </rPh>
    <phoneticPr fontId="2"/>
  </si>
  <si>
    <t>検討技術の詳細は「 高濃度消化・省エネ型バイオガス精製による効率的エネルギー利活用技術に関する実証事業」を参照してください</t>
    <rPh sb="0" eb="2">
      <t>ケントウ</t>
    </rPh>
    <rPh sb="2" eb="4">
      <t>ギジュツ</t>
    </rPh>
    <rPh sb="5" eb="7">
      <t>ショウサイ</t>
    </rPh>
    <rPh sb="53" eb="55">
      <t>サンショウ</t>
    </rPh>
    <phoneticPr fontId="2"/>
  </si>
  <si>
    <t>以降の計算シートは「高濃度消化・省エネ型バイオガス精製による効率的エネルギー利活用技術に関する実証事業」における技術導入効果計算シートの転載になります。</t>
    <rPh sb="0" eb="2">
      <t>イコウ</t>
    </rPh>
    <rPh sb="3" eb="5">
      <t>ケイサン</t>
    </rPh>
    <rPh sb="56" eb="58">
      <t>ギジュツ</t>
    </rPh>
    <rPh sb="58" eb="60">
      <t>ドウニュウ</t>
    </rPh>
    <rPh sb="60" eb="62">
      <t>コウカ</t>
    </rPh>
    <rPh sb="62" eb="64">
      <t>ケイサン</t>
    </rPh>
    <rPh sb="68" eb="70">
      <t>テンサイ</t>
    </rPh>
    <phoneticPr fontId="2"/>
  </si>
  <si>
    <t>費用を算出する場合入力</t>
    <rPh sb="3" eb="5">
      <t>サンシュツ</t>
    </rPh>
    <rPh sb="7" eb="9">
      <t>バアイ</t>
    </rPh>
    <rPh sb="9" eb="11">
      <t>ニュウリョク</t>
    </rPh>
    <phoneticPr fontId="2"/>
  </si>
  <si>
    <t>※下記「算定結果」より、適合する条件の従来技術及び革新的技術の「CO2収支」の差を入力して下さい。</t>
    <rPh sb="1" eb="3">
      <t>カキ</t>
    </rPh>
    <rPh sb="12" eb="14">
      <t>テキゴウ</t>
    </rPh>
    <rPh sb="16" eb="18">
      <t>ジョウケン</t>
    </rPh>
    <rPh sb="19" eb="21">
      <t>ジュウライ</t>
    </rPh>
    <rPh sb="21" eb="23">
      <t>ギジュツ</t>
    </rPh>
    <rPh sb="23" eb="24">
      <t>オヨ</t>
    </rPh>
    <rPh sb="25" eb="28">
      <t>カクシンテキ</t>
    </rPh>
    <rPh sb="28" eb="30">
      <t>ギジュツ</t>
    </rPh>
    <rPh sb="39" eb="40">
      <t>サ</t>
    </rPh>
    <rPh sb="41" eb="43">
      <t>ニュウリョク</t>
    </rPh>
    <rPh sb="45" eb="46">
      <t>クダ</t>
    </rPh>
    <phoneticPr fontId="2"/>
  </si>
  <si>
    <t>　費用を算出する場合非表示になっている131~216を再表示させて下さい</t>
    <rPh sb="1" eb="3">
      <t>ヒヨウ</t>
    </rPh>
    <rPh sb="4" eb="6">
      <t>サンシュツ</t>
    </rPh>
    <rPh sb="8" eb="10">
      <t>バアイ</t>
    </rPh>
    <rPh sb="10" eb="13">
      <t>ヒヒョウジ</t>
    </rPh>
    <rPh sb="27" eb="28">
      <t>サイ</t>
    </rPh>
    <rPh sb="28" eb="30">
      <t>ヒョウジ</t>
    </rPh>
    <rPh sb="33" eb="34">
      <t>クダ</t>
    </rPh>
    <phoneticPr fontId="2"/>
  </si>
  <si>
    <t>濃縮設備</t>
    <rPh sb="0" eb="2">
      <t>ノウシュク</t>
    </rPh>
    <rPh sb="2" eb="4">
      <t>セツビ</t>
    </rPh>
    <phoneticPr fontId="2"/>
  </si>
  <si>
    <t>　下記に必要事項の入力をお願いします。</t>
    <rPh sb="1" eb="3">
      <t>カキ</t>
    </rPh>
    <rPh sb="4" eb="8">
      <t>ヒツヨウジコウ</t>
    </rPh>
    <rPh sb="9" eb="11">
      <t>ニュウリョク</t>
    </rPh>
    <rPh sb="13" eb="14">
      <t>ネガ</t>
    </rPh>
    <phoneticPr fontId="5"/>
  </si>
  <si>
    <t>クリックで対策シートに戻る</t>
    <rPh sb="5" eb="7">
      <t>タイサク</t>
    </rPh>
    <rPh sb="11" eb="12">
      <t>モド</t>
    </rPh>
    <phoneticPr fontId="2"/>
  </si>
  <si>
    <t>・本技術のイメージ</t>
    <rPh sb="1" eb="4">
      <t>ホンギジュツ</t>
    </rPh>
    <phoneticPr fontId="2"/>
  </si>
  <si>
    <t>オキシデーションディッチ法の省エネ技術に関する技術資料より」</t>
    <phoneticPr fontId="2"/>
  </si>
  <si>
    <t>※本技術の削減効果は汚泥埋立の削減分も見込んでいる。</t>
    <rPh sb="1" eb="4">
      <t>ホンギジュツ</t>
    </rPh>
    <rPh sb="5" eb="9">
      <t>サクゲンコウカ</t>
    </rPh>
    <rPh sb="10" eb="12">
      <t>オデイ</t>
    </rPh>
    <rPh sb="12" eb="14">
      <t>ウメタテ</t>
    </rPh>
    <rPh sb="15" eb="18">
      <t>サクゲンブン</t>
    </rPh>
    <rPh sb="19" eb="21">
      <t>ミコ</t>
    </rPh>
    <phoneticPr fontId="2"/>
  </si>
  <si>
    <t>https://www.mlit.go.jp/mizukokudo/sewerage/mizukokudo_sewerage_tk_000364.html</t>
    <phoneticPr fontId="2"/>
  </si>
  <si>
    <t xml:space="preserve"> t-CO₂/千m³削減が必要になる。</t>
    <phoneticPr fontId="5"/>
  </si>
  <si>
    <t>適応条件</t>
    <rPh sb="0" eb="4">
      <t>テキオウジョウケン</t>
    </rPh>
    <phoneticPr fontId="2"/>
  </si>
  <si>
    <t>・バイオマス受入れを含め、汚泥のエネルギー利用を進めたい下水処理場
・最初沈殿池の更新と合わせ、施設のコンパクト化・耐震化を図りたい下水処理場
・水処理・汚泥処理の全体で省エネを図りたい下水処理場
・合流改善やSSO 改善をして、環境改善を図りたい下水処理場</t>
    <phoneticPr fontId="2"/>
  </si>
  <si>
    <t>・活性汚泥を用いた下水処理方式で、好気タンクを有すること。
・アンモニア性窒素に対して明確な処理目標があること。
・風量制御が可能であること。</t>
    <phoneticPr fontId="2"/>
  </si>
  <si>
    <t>・計画放流水質が、BOD：10～15mg/Lの区分で、窒素・りん除去を目的とする高度処理を必要としない下水処理場
・標準活性汚泥法等の既存施設の改造、ならびに水処理施設の新設または増設に適用可能。</t>
    <phoneticPr fontId="2"/>
  </si>
  <si>
    <t>・ 計画放流水質がBODで10 mg/Lを超え、15 mg/L以下の区分である下水処理場
・ 流入下水の温度：最低月15℃以上
・ 標準法の代替　（高度処理 （N、P除去） は不可※）
　※ 高度処理を必要とする下水処理場において、その一部系列に本技術を適用することは可能
・ 既設改造、新設ともに対応可能</t>
    <phoneticPr fontId="2"/>
  </si>
  <si>
    <t>・脱水設備、焼却設備の新設および更新、既存の遠心脱水機、気泡流動炉の改造の際に導入可能
・低空気比省エネ燃焼技術に加えて、脱水あるいは発電設備を導入することで、連携/最適化が機能する。</t>
    <phoneticPr fontId="2"/>
  </si>
  <si>
    <t>・遠心脱水機が設置可能　
・焼却灰の処分先または有効利用先が確保可能　
・ ろ過水量が確保可能（蒸気発電機冷却水として）
　　⇒汚泥1t-DS/日当たり6～8m3/h程度　ろ過水水温は概ね15～30℃の範囲
・焼却規模
　　⇒概ね10t-DS/日以上（1.5t/h以上の蒸気量）</t>
    <phoneticPr fontId="2"/>
  </si>
  <si>
    <t>・焼却規模 60wet-t/日（約16ds-t/日）以上
・焼却炉形式が流動床式であり、二段燃焼およびそれに類する設備を保有していないこと
・脱水汚泥含水率が85％未満
・下水処理水の利用が可能であること</t>
    <phoneticPr fontId="2"/>
  </si>
  <si>
    <t>・初沈汚泥が発生する水処理方式（最初沈殿池を備える）であること。
・本技術全体を導入する場合、流入下水量が日最大20,000m3/日以上であること。</t>
    <phoneticPr fontId="2"/>
  </si>
  <si>
    <t>・流入比率が低い処理場</t>
    <rPh sb="1" eb="3">
      <t>リュウニュウ</t>
    </rPh>
    <rPh sb="3" eb="5">
      <t>ヒリツ</t>
    </rPh>
    <rPh sb="6" eb="7">
      <t>ヒク</t>
    </rPh>
    <rPh sb="8" eb="11">
      <t>ショリジョウ</t>
    </rPh>
    <phoneticPr fontId="2"/>
  </si>
  <si>
    <t>・自動制御を行っていない処理場</t>
    <rPh sb="1" eb="5">
      <t>ジドウセイギョ</t>
    </rPh>
    <rPh sb="6" eb="7">
      <t>オコナ</t>
    </rPh>
    <rPh sb="12" eb="15">
      <t>ショリジョウ</t>
    </rPh>
    <phoneticPr fontId="2"/>
  </si>
  <si>
    <t>・散気板、散気筒など酸素移動効率の悪い散気装置を使用している処理場</t>
    <rPh sb="1" eb="4">
      <t>サンキバン</t>
    </rPh>
    <rPh sb="5" eb="7">
      <t>サンキ</t>
    </rPh>
    <rPh sb="7" eb="8">
      <t>ツツ</t>
    </rPh>
    <rPh sb="10" eb="16">
      <t>サンソイドウコウリツ</t>
    </rPh>
    <rPh sb="17" eb="18">
      <t>ワル</t>
    </rPh>
    <rPh sb="19" eb="23">
      <t>サンキソウチ</t>
    </rPh>
    <rPh sb="24" eb="26">
      <t>シヨウ</t>
    </rPh>
    <rPh sb="30" eb="33">
      <t>ショリジョウ</t>
    </rPh>
    <phoneticPr fontId="2"/>
  </si>
  <si>
    <t>・省エネ型でない撹拌機を使用している処理場</t>
    <rPh sb="1" eb="2">
      <t>ショウ</t>
    </rPh>
    <rPh sb="4" eb="5">
      <t>ガタ</t>
    </rPh>
    <rPh sb="8" eb="11">
      <t>カクハンキ</t>
    </rPh>
    <rPh sb="12" eb="14">
      <t>シヨウ</t>
    </rPh>
    <rPh sb="18" eb="21">
      <t>ショリジョウ</t>
    </rPh>
    <phoneticPr fontId="2"/>
  </si>
  <si>
    <t>・従来型の多段ターボブロアを使用している処理場</t>
    <rPh sb="1" eb="3">
      <t>ジュウライ</t>
    </rPh>
    <rPh sb="3" eb="4">
      <t>ガタ</t>
    </rPh>
    <rPh sb="5" eb="7">
      <t>タダン</t>
    </rPh>
    <rPh sb="14" eb="16">
      <t>シヨウ</t>
    </rPh>
    <rPh sb="20" eb="23">
      <t>ショリジョウ</t>
    </rPh>
    <phoneticPr fontId="2"/>
  </si>
  <si>
    <t>・遠心濃縮機などの効率の悪い機械濃縮機を使用している処理場</t>
    <rPh sb="1" eb="3">
      <t>エンシン</t>
    </rPh>
    <rPh sb="3" eb="6">
      <t>ノウシュクキ</t>
    </rPh>
    <rPh sb="9" eb="11">
      <t>コウリツ</t>
    </rPh>
    <rPh sb="12" eb="13">
      <t>ワル</t>
    </rPh>
    <rPh sb="14" eb="16">
      <t>キカイ</t>
    </rPh>
    <rPh sb="16" eb="19">
      <t>ノウシュクキ</t>
    </rPh>
    <rPh sb="20" eb="22">
      <t>シヨウ</t>
    </rPh>
    <rPh sb="26" eb="29">
      <t>ショリジョウ</t>
    </rPh>
    <phoneticPr fontId="2"/>
  </si>
  <si>
    <t>・消化設備の無い処理場</t>
    <rPh sb="1" eb="3">
      <t>ショウカ</t>
    </rPh>
    <rPh sb="3" eb="5">
      <t>セツビ</t>
    </rPh>
    <rPh sb="6" eb="7">
      <t>ナ</t>
    </rPh>
    <rPh sb="8" eb="11">
      <t>ショリジョウ</t>
    </rPh>
    <phoneticPr fontId="2"/>
  </si>
  <si>
    <t>・遠心脱水機などの効率の悪い機械脱水機を使用している処理場</t>
    <rPh sb="1" eb="3">
      <t>エンシン</t>
    </rPh>
    <rPh sb="3" eb="5">
      <t>ダッスイ</t>
    </rPh>
    <rPh sb="5" eb="6">
      <t>キ</t>
    </rPh>
    <rPh sb="9" eb="11">
      <t>コウリツ</t>
    </rPh>
    <rPh sb="12" eb="13">
      <t>ワル</t>
    </rPh>
    <rPh sb="14" eb="16">
      <t>キカイ</t>
    </rPh>
    <rPh sb="16" eb="18">
      <t>ダッスイ</t>
    </rPh>
    <rPh sb="18" eb="19">
      <t>キ</t>
    </rPh>
    <rPh sb="20" eb="22">
      <t>シヨウ</t>
    </rPh>
    <rPh sb="26" eb="29">
      <t>ショリジョウ</t>
    </rPh>
    <phoneticPr fontId="2"/>
  </si>
  <si>
    <t>・固形燃料化設備の無い処理場</t>
    <rPh sb="1" eb="6">
      <t>コケイネンリョウカ</t>
    </rPh>
    <rPh sb="6" eb="8">
      <t>セツビ</t>
    </rPh>
    <rPh sb="9" eb="10">
      <t>ナ</t>
    </rPh>
    <rPh sb="11" eb="14">
      <t>ショリジョウ</t>
    </rPh>
    <phoneticPr fontId="2"/>
  </si>
  <si>
    <t>・標準法、OD法で、設計指針に示された条件の範囲で運転してい処理場
・脱水機の運転時間に余裕があり、濃縮・脱水運転の切替え運用が可能であること
・消化設備、発電設備の設置スペースを未利用用地等に確保できること</t>
    <rPh sb="1" eb="4">
      <t>ヒョウジュンホウ</t>
    </rPh>
    <rPh sb="7" eb="8">
      <t>ホウ</t>
    </rPh>
    <rPh sb="10" eb="12">
      <t>セッケイ</t>
    </rPh>
    <rPh sb="12" eb="14">
      <t>シシン</t>
    </rPh>
    <rPh sb="15" eb="16">
      <t>シメ</t>
    </rPh>
    <rPh sb="19" eb="21">
      <t>ジョウケン</t>
    </rPh>
    <rPh sb="22" eb="24">
      <t>ハンイ</t>
    </rPh>
    <rPh sb="25" eb="27">
      <t>ウンテン</t>
    </rPh>
    <rPh sb="30" eb="33">
      <t>ショリジョウ</t>
    </rPh>
    <rPh sb="35" eb="37">
      <t>ダッスイ</t>
    </rPh>
    <rPh sb="37" eb="38">
      <t>キ</t>
    </rPh>
    <rPh sb="39" eb="43">
      <t>ウンテンジカン</t>
    </rPh>
    <rPh sb="44" eb="46">
      <t>ヨユウ</t>
    </rPh>
    <rPh sb="50" eb="52">
      <t>ノウシュク</t>
    </rPh>
    <rPh sb="53" eb="55">
      <t>ダッスイ</t>
    </rPh>
    <rPh sb="55" eb="57">
      <t>ウンテン</t>
    </rPh>
    <rPh sb="58" eb="60">
      <t>キリカエ</t>
    </rPh>
    <rPh sb="61" eb="63">
      <t>ウンヨウ</t>
    </rPh>
    <rPh sb="64" eb="66">
      <t>カノウ</t>
    </rPh>
    <rPh sb="73" eb="75">
      <t>ショウカ</t>
    </rPh>
    <rPh sb="75" eb="77">
      <t>セツビ</t>
    </rPh>
    <rPh sb="78" eb="80">
      <t>ハツデン</t>
    </rPh>
    <rPh sb="80" eb="82">
      <t>セツビ</t>
    </rPh>
    <rPh sb="83" eb="85">
      <t>セッチ</t>
    </rPh>
    <rPh sb="90" eb="93">
      <t>ミリヨウ</t>
    </rPh>
    <rPh sb="93" eb="95">
      <t>ヨウチ</t>
    </rPh>
    <rPh sb="95" eb="96">
      <t>トウ</t>
    </rPh>
    <rPh sb="97" eb="99">
      <t>カクホ</t>
    </rPh>
    <phoneticPr fontId="2"/>
  </si>
  <si>
    <t>処理施設全体の消費電力量</t>
    <rPh sb="7" eb="11">
      <t>ショウヒデンリョク</t>
    </rPh>
    <rPh sb="11" eb="12">
      <t>リョウ</t>
    </rPh>
    <phoneticPr fontId="2"/>
  </si>
  <si>
    <t>燃料
(処理施設全体)</t>
    <rPh sb="0" eb="2">
      <t>ネンリョウ</t>
    </rPh>
    <phoneticPr fontId="2"/>
  </si>
  <si>
    <t>2013年</t>
    <rPh sb="4" eb="5">
      <t>ネン</t>
    </rPh>
    <phoneticPr fontId="5"/>
  </si>
  <si>
    <r>
      <t>下記に</t>
    </r>
    <r>
      <rPr>
        <b/>
        <sz val="11"/>
        <color rgb="FFFF0000"/>
        <rFont val="游ゴシック"/>
        <family val="3"/>
        <charset val="128"/>
        <scheme val="minor"/>
      </rPr>
      <t>2013年</t>
    </r>
    <r>
      <rPr>
        <b/>
        <sz val="11"/>
        <color theme="1"/>
        <rFont val="游ゴシック"/>
        <family val="3"/>
        <charset val="128"/>
        <scheme val="minor"/>
      </rPr>
      <t>及び</t>
    </r>
    <r>
      <rPr>
        <b/>
        <sz val="11"/>
        <color rgb="FFFF0000"/>
        <rFont val="游ゴシック"/>
        <family val="3"/>
        <charset val="128"/>
        <scheme val="minor"/>
      </rPr>
      <t>2018年</t>
    </r>
    <r>
      <rPr>
        <b/>
        <sz val="11"/>
        <color theme="1"/>
        <rFont val="游ゴシック"/>
        <family val="3"/>
        <charset val="128"/>
        <scheme val="minor"/>
      </rPr>
      <t>の実績値の記入をお願いします。</t>
    </r>
    <rPh sb="0" eb="2">
      <t>カキ</t>
    </rPh>
    <rPh sb="7" eb="8">
      <t>ネン</t>
    </rPh>
    <rPh sb="8" eb="9">
      <t>オヨ</t>
    </rPh>
    <rPh sb="14" eb="15">
      <t>ネン</t>
    </rPh>
    <rPh sb="16" eb="19">
      <t>ジッセキチ</t>
    </rPh>
    <rPh sb="20" eb="22">
      <t>キニュウ</t>
    </rPh>
    <rPh sb="24" eb="25">
      <t>ネガ</t>
    </rPh>
    <phoneticPr fontId="5"/>
  </si>
  <si>
    <t>2013年実績値</t>
    <rPh sb="4" eb="5">
      <t>ネン</t>
    </rPh>
    <rPh sb="5" eb="8">
      <t>ジッセキチ</t>
    </rPh>
    <phoneticPr fontId="5"/>
  </si>
  <si>
    <t>2018年実績値</t>
    <rPh sb="4" eb="5">
      <t>ネン</t>
    </rPh>
    <rPh sb="5" eb="8">
      <t>ジッセキチ</t>
    </rPh>
    <phoneticPr fontId="5"/>
  </si>
  <si>
    <t>2013年エネルギー消費にかかる温室効果ガス排出量</t>
    <rPh sb="10" eb="12">
      <t>ショウヒ</t>
    </rPh>
    <phoneticPr fontId="5"/>
  </si>
  <si>
    <t>当該処理場のエネルギー消費にかかる温室効果ガス排出量を算出する。</t>
    <rPh sb="0" eb="2">
      <t>トウガイ</t>
    </rPh>
    <rPh sb="2" eb="4">
      <t>ショリ</t>
    </rPh>
    <rPh sb="4" eb="5">
      <t>ジョウ</t>
    </rPh>
    <rPh sb="11" eb="13">
      <t>ショウヒ</t>
    </rPh>
    <rPh sb="17" eb="19">
      <t>オンシツ</t>
    </rPh>
    <rPh sb="19" eb="21">
      <t>コウカ</t>
    </rPh>
    <rPh sb="23" eb="25">
      <t>ハイシュツ</t>
    </rPh>
    <rPh sb="25" eb="26">
      <t>リョウ</t>
    </rPh>
    <rPh sb="27" eb="29">
      <t>サンシュツ</t>
    </rPh>
    <phoneticPr fontId="5"/>
  </si>
  <si>
    <t>2018年エネルギー消費にかかる温室効果ガス排出量</t>
    <rPh sb="10" eb="12">
      <t>ショウヒ</t>
    </rPh>
    <phoneticPr fontId="5"/>
  </si>
  <si>
    <t>2018年処理水量当たりの温室効果ガス排出量</t>
    <rPh sb="5" eb="9">
      <t>ショリスイリョウ</t>
    </rPh>
    <rPh sb="9" eb="10">
      <t>ア</t>
    </rPh>
    <rPh sb="13" eb="17">
      <t>オンシツコウカ</t>
    </rPh>
    <rPh sb="19" eb="22">
      <t>ハイシュツリョウ</t>
    </rPh>
    <phoneticPr fontId="5"/>
  </si>
  <si>
    <t>2013年処理水量当たりの温室効果ガス排出量</t>
    <rPh sb="5" eb="9">
      <t>ショリスイリョウ</t>
    </rPh>
    <rPh sb="9" eb="10">
      <t>ア</t>
    </rPh>
    <rPh sb="13" eb="17">
      <t>オンシツコウカ</t>
    </rPh>
    <rPh sb="19" eb="22">
      <t>ハイシュツリョウ</t>
    </rPh>
    <phoneticPr fontId="5"/>
  </si>
  <si>
    <t>2014年</t>
    <rPh sb="4" eb="5">
      <t>ネン</t>
    </rPh>
    <phoneticPr fontId="5"/>
  </si>
  <si>
    <t>2015年</t>
    <rPh sb="4" eb="5">
      <t>ネン</t>
    </rPh>
    <phoneticPr fontId="5"/>
  </si>
  <si>
    <t>2016年</t>
    <rPh sb="4" eb="5">
      <t>ネン</t>
    </rPh>
    <phoneticPr fontId="5"/>
  </si>
  <si>
    <t>2017年</t>
    <rPh sb="4" eb="5">
      <t>ネン</t>
    </rPh>
    <phoneticPr fontId="5"/>
  </si>
  <si>
    <t>2018年</t>
    <rPh sb="4" eb="5">
      <t>ネン</t>
    </rPh>
    <phoneticPr fontId="5"/>
  </si>
  <si>
    <t>2019年</t>
    <rPh sb="4" eb="5">
      <t>ネン</t>
    </rPh>
    <phoneticPr fontId="5"/>
  </si>
  <si>
    <t>2020年</t>
    <rPh sb="4" eb="5">
      <t>ネン</t>
    </rPh>
    <phoneticPr fontId="5"/>
  </si>
  <si>
    <t>2021年</t>
    <rPh sb="4" eb="5">
      <t>ネン</t>
    </rPh>
    <phoneticPr fontId="5"/>
  </si>
  <si>
    <t>2022年</t>
    <rPh sb="4" eb="5">
      <t>ネン</t>
    </rPh>
    <phoneticPr fontId="5"/>
  </si>
  <si>
    <t>2023年</t>
    <rPh sb="4" eb="5">
      <t>ネン</t>
    </rPh>
    <phoneticPr fontId="5"/>
  </si>
  <si>
    <t>2024年</t>
    <rPh sb="4" eb="5">
      <t>ネン</t>
    </rPh>
    <phoneticPr fontId="5"/>
  </si>
  <si>
    <t>2025年</t>
    <rPh sb="4" eb="5">
      <t>ネン</t>
    </rPh>
    <phoneticPr fontId="5"/>
  </si>
  <si>
    <t>2026年</t>
    <rPh sb="4" eb="5">
      <t>ネン</t>
    </rPh>
    <phoneticPr fontId="5"/>
  </si>
  <si>
    <t>2027年</t>
    <rPh sb="4" eb="5">
      <t>ネン</t>
    </rPh>
    <phoneticPr fontId="5"/>
  </si>
  <si>
    <t>2028年</t>
    <rPh sb="4" eb="5">
      <t>ネン</t>
    </rPh>
    <phoneticPr fontId="5"/>
  </si>
  <si>
    <t>2029年</t>
    <rPh sb="4" eb="5">
      <t>ネン</t>
    </rPh>
    <phoneticPr fontId="5"/>
  </si>
  <si>
    <t>2030年</t>
    <rPh sb="4" eb="5">
      <t>ネン</t>
    </rPh>
    <phoneticPr fontId="5"/>
  </si>
  <si>
    <t>年</t>
    <rPh sb="0" eb="1">
      <t>ネン</t>
    </rPh>
    <phoneticPr fontId="5"/>
  </si>
  <si>
    <t>(実績値)</t>
    <phoneticPr fontId="5"/>
  </si>
  <si>
    <t>5.　まとめ</t>
    <phoneticPr fontId="5"/>
  </si>
  <si>
    <t>・追加対策リスト</t>
    <rPh sb="1" eb="3">
      <t>ツイカ</t>
    </rPh>
    <rPh sb="3" eb="5">
      <t>タイサク</t>
    </rPh>
    <phoneticPr fontId="2"/>
  </si>
  <si>
    <t>　　対策リストに無い対策を行う場合下記に内容や削減量の記入をお願いします。</t>
    <rPh sb="2" eb="4">
      <t>タイサク</t>
    </rPh>
    <rPh sb="8" eb="9">
      <t>ナ</t>
    </rPh>
    <rPh sb="10" eb="12">
      <t>タイサク</t>
    </rPh>
    <rPh sb="13" eb="14">
      <t>オコナ</t>
    </rPh>
    <rPh sb="15" eb="17">
      <t>バアイ</t>
    </rPh>
    <rPh sb="17" eb="19">
      <t>カキ</t>
    </rPh>
    <rPh sb="20" eb="22">
      <t>ナイヨウ</t>
    </rPh>
    <rPh sb="23" eb="26">
      <t>サクゲンリョウ</t>
    </rPh>
    <rPh sb="27" eb="29">
      <t>キニュウ</t>
    </rPh>
    <rPh sb="31" eb="32">
      <t>ネガ</t>
    </rPh>
    <phoneticPr fontId="2"/>
  </si>
  <si>
    <t>対策No.10</t>
  </si>
  <si>
    <t>LOG10
(処理水量[m³/日])</t>
    <phoneticPr fontId="2"/>
  </si>
  <si>
    <t>※2013年実績値ー2018年実績値</t>
    <rPh sb="5" eb="6">
      <t>ネン</t>
    </rPh>
    <rPh sb="6" eb="8">
      <t>ジッセキ</t>
    </rPh>
    <rPh sb="8" eb="9">
      <t>チ</t>
    </rPh>
    <rPh sb="14" eb="15">
      <t>ネン</t>
    </rPh>
    <rPh sb="15" eb="18">
      <t>ジッセキチ</t>
    </rPh>
    <phoneticPr fontId="5"/>
  </si>
  <si>
    <t>・2013年から2018年までに</t>
    <rPh sb="5" eb="6">
      <t>ネン</t>
    </rPh>
    <rPh sb="12" eb="13">
      <t>ネン</t>
    </rPh>
    <phoneticPr fontId="5"/>
  </si>
  <si>
    <t xml:space="preserve"> t-CO₂/千m³削減された。</t>
    <phoneticPr fontId="5"/>
  </si>
  <si>
    <t>処理水量当たりの
温室効果ガス排出量
(t-CO₂/千m³)</t>
    <rPh sb="26" eb="27">
      <t>セン</t>
    </rPh>
    <phoneticPr fontId="5"/>
  </si>
  <si>
    <t xml:space="preserve"> t-CO₂/年削減された。</t>
    <rPh sb="7" eb="8">
      <t>ネン</t>
    </rPh>
    <phoneticPr fontId="5"/>
  </si>
  <si>
    <t>温室効果ガス排出量
(t-CO₂/年)</t>
    <rPh sb="17" eb="18">
      <t>ネン</t>
    </rPh>
    <phoneticPr fontId="5"/>
  </si>
  <si>
    <t xml:space="preserve"> t-CO₂/年削減が必要になる。</t>
    <rPh sb="7" eb="8">
      <t>ネン</t>
    </rPh>
    <phoneticPr fontId="5"/>
  </si>
  <si>
    <t>現状の温室効果ガス排出量
(2018年実績)</t>
    <rPh sb="0" eb="2">
      <t>ゲンジョウ</t>
    </rPh>
    <rPh sb="3" eb="7">
      <t>オンシツコウカ</t>
    </rPh>
    <rPh sb="9" eb="12">
      <t>ハイシュツリョウ</t>
    </rPh>
    <rPh sb="18" eb="19">
      <t>ネン</t>
    </rPh>
    <rPh sb="19" eb="21">
      <t>ジッセキ</t>
    </rPh>
    <phoneticPr fontId="2"/>
  </si>
  <si>
    <t>対策の寄与率
(削減量/現状の総排出量)</t>
    <rPh sb="0" eb="2">
      <t>タイサク</t>
    </rPh>
    <rPh sb="3" eb="6">
      <t>キヨリツ</t>
    </rPh>
    <rPh sb="8" eb="11">
      <t>サクゲンリョウ</t>
    </rPh>
    <rPh sb="12" eb="14">
      <t>ゲンジョウ</t>
    </rPh>
    <rPh sb="15" eb="16">
      <t>ソウ</t>
    </rPh>
    <rPh sb="16" eb="19">
      <t>ハイシュツリョウ</t>
    </rPh>
    <phoneticPr fontId="2"/>
  </si>
  <si>
    <t>各対策の合計値</t>
    <phoneticPr fontId="2"/>
  </si>
  <si>
    <t>各対策の合計値</t>
    <rPh sb="0" eb="1">
      <t>カク</t>
    </rPh>
    <rPh sb="1" eb="3">
      <t>タイサク</t>
    </rPh>
    <rPh sb="4" eb="6">
      <t>ゴウケイ</t>
    </rPh>
    <rPh sb="6" eb="7">
      <t>チ</t>
    </rPh>
    <phoneticPr fontId="2"/>
  </si>
  <si>
    <t>t-CO₂/千m³</t>
    <rPh sb="6" eb="7">
      <t>セン</t>
    </rPh>
    <phoneticPr fontId="2"/>
  </si>
  <si>
    <t>処理水量当たりの
温室効果ガス排出量(t-CO₂/千m³)</t>
    <rPh sb="25" eb="26">
      <t>セン</t>
    </rPh>
    <phoneticPr fontId="5"/>
  </si>
  <si>
    <t>その他
(必要に応じて記入)</t>
    <rPh sb="2" eb="3">
      <t>タ</t>
    </rPh>
    <rPh sb="5" eb="7">
      <t>ヒツヨウ</t>
    </rPh>
    <rPh sb="8" eb="9">
      <t>オウ</t>
    </rPh>
    <rPh sb="11" eb="13">
      <t>キニュウ</t>
    </rPh>
    <phoneticPr fontId="5"/>
  </si>
  <si>
    <t xml:space="preserve"> 混合油(草刈り用燃料)</t>
    <rPh sb="1" eb="3">
      <t>コンゴウ</t>
    </rPh>
    <rPh sb="3" eb="4">
      <t>アブラ</t>
    </rPh>
    <rPh sb="5" eb="7">
      <t>クサカ</t>
    </rPh>
    <rPh sb="8" eb="9">
      <t>ヨウ</t>
    </rPh>
    <rPh sb="9" eb="11">
      <t>ネンリョウ</t>
    </rPh>
    <phoneticPr fontId="5"/>
  </si>
  <si>
    <t>1.　基本情報(2018年の情報を記入　処理水量のみ2013年の値も入力)</t>
    <rPh sb="3" eb="7">
      <t>キホンジョウホウ</t>
    </rPh>
    <rPh sb="14" eb="16">
      <t>ジョウホウ</t>
    </rPh>
    <rPh sb="17" eb="19">
      <t>キニュウ</t>
    </rPh>
    <rPh sb="20" eb="24">
      <t>ショリスイリョウ</t>
    </rPh>
    <rPh sb="30" eb="31">
      <t>ネン</t>
    </rPh>
    <rPh sb="32" eb="33">
      <t>アタイ</t>
    </rPh>
    <rPh sb="34" eb="36">
      <t>ニュウリョク</t>
    </rPh>
    <phoneticPr fontId="2"/>
  </si>
  <si>
    <t>処理施設全体の処理水量(2013年)</t>
    <rPh sb="0" eb="4">
      <t>ショリシセツ</t>
    </rPh>
    <rPh sb="4" eb="6">
      <t>ゼンタイ</t>
    </rPh>
    <rPh sb="7" eb="9">
      <t>ショリ</t>
    </rPh>
    <rPh sb="9" eb="10">
      <t>スイ</t>
    </rPh>
    <rPh sb="16" eb="17">
      <t>ネン</t>
    </rPh>
    <phoneticPr fontId="5"/>
  </si>
  <si>
    <t>処理施設全体の処理水量(2018年)</t>
    <rPh sb="0" eb="4">
      <t>ショリシセツ</t>
    </rPh>
    <rPh sb="4" eb="6">
      <t>ゼンタイ</t>
    </rPh>
    <rPh sb="7" eb="11">
      <t>ショリスイリョウ</t>
    </rPh>
    <phoneticPr fontId="5"/>
  </si>
  <si>
    <t>対策後の排出量</t>
    <rPh sb="0" eb="3">
      <t>タイサクゴ</t>
    </rPh>
    <rPh sb="4" eb="7">
      <t>ハイシュツリョウ</t>
    </rPh>
    <phoneticPr fontId="5"/>
  </si>
  <si>
    <t>※2030年の目標排出量＝2030年目標標原単位×2018年処理水量</t>
    <rPh sb="5" eb="6">
      <t>ネン</t>
    </rPh>
    <rPh sb="7" eb="9">
      <t>モクヒョウ</t>
    </rPh>
    <rPh sb="9" eb="12">
      <t>ハイシュツリョウ</t>
    </rPh>
    <rPh sb="17" eb="18">
      <t>ネン</t>
    </rPh>
    <rPh sb="18" eb="20">
      <t>モクヒョウ</t>
    </rPh>
    <rPh sb="20" eb="21">
      <t>シルベ</t>
    </rPh>
    <rPh sb="21" eb="24">
      <t>ゲンタンイ</t>
    </rPh>
    <rPh sb="29" eb="30">
      <t>ネン</t>
    </rPh>
    <rPh sb="30" eb="34">
      <t>ショリスイリョウ</t>
    </rPh>
    <phoneticPr fontId="5"/>
  </si>
  <si>
    <t>（省エネによる削減目標60万t-CO₂削減目標設定ツール)</t>
    <rPh sb="21" eb="23">
      <t>モクヒョウ</t>
    </rPh>
    <rPh sb="23" eb="25">
      <t>セッテイ</t>
    </rPh>
    <phoneticPr fontId="5"/>
  </si>
  <si>
    <t>　  ※エネルギー消費にかかる対策のみを記入</t>
    <rPh sb="15" eb="17">
      <t>タイサク</t>
    </rPh>
    <rPh sb="20" eb="22">
      <t>キニュウ</t>
    </rPh>
    <phoneticPr fontId="2"/>
  </si>
  <si>
    <t>・2018年標準値まで削減をするには</t>
    <rPh sb="5" eb="6">
      <t>ネン</t>
    </rPh>
    <rPh sb="11" eb="13">
      <t>サクゲン</t>
    </rPh>
    <phoneticPr fontId="5"/>
  </si>
  <si>
    <t>※2018年実績値ー2018年標準値</t>
    <rPh sb="5" eb="6">
      <t>ネン</t>
    </rPh>
    <rPh sb="6" eb="8">
      <t>ジッセキ</t>
    </rPh>
    <rPh sb="8" eb="9">
      <t>チ</t>
    </rPh>
    <rPh sb="14" eb="15">
      <t>ネン</t>
    </rPh>
    <phoneticPr fontId="5"/>
  </si>
  <si>
    <t>※マイナス値であれば標準以下</t>
    <rPh sb="5" eb="6">
      <t>チ</t>
    </rPh>
    <rPh sb="12" eb="14">
      <t>イカ</t>
    </rPh>
    <phoneticPr fontId="5"/>
  </si>
  <si>
    <t>・このシートでは現状の温室効果ガス排出量や標準的な処理場における温室効果ガス排出量を算出します。</t>
    <rPh sb="8" eb="10">
      <t>ゲンジョウ</t>
    </rPh>
    <rPh sb="11" eb="15">
      <t>オンシツコウカ</t>
    </rPh>
    <rPh sb="17" eb="20">
      <t>ハイシュツリョウ</t>
    </rPh>
    <rPh sb="23" eb="24">
      <t>テキ</t>
    </rPh>
    <rPh sb="25" eb="28">
      <t>ショリジョウ</t>
    </rPh>
    <rPh sb="32" eb="34">
      <t>オンシツ</t>
    </rPh>
    <rPh sb="34" eb="36">
      <t>コウカ</t>
    </rPh>
    <rPh sb="38" eb="40">
      <t>ハイシュツ</t>
    </rPh>
    <rPh sb="40" eb="41">
      <t>リョウ</t>
    </rPh>
    <rPh sb="42" eb="44">
      <t>サンシュツ</t>
    </rPh>
    <phoneticPr fontId="5"/>
  </si>
  <si>
    <t>3．標準値の算出</t>
    <rPh sb="4" eb="5">
      <t>チ</t>
    </rPh>
    <rPh sb="6" eb="8">
      <t>サンシュツ</t>
    </rPh>
    <phoneticPr fontId="5"/>
  </si>
  <si>
    <t>2018年実績値をもとに各処理場の処理水量等の特性に応じた既存施設の標準的な値である「標準値」の算出を行う。</t>
    <rPh sb="4" eb="5">
      <t>ネン</t>
    </rPh>
    <rPh sb="5" eb="7">
      <t>ジッセキ</t>
    </rPh>
    <rPh sb="7" eb="8">
      <t>チ</t>
    </rPh>
    <rPh sb="12" eb="13">
      <t>カク</t>
    </rPh>
    <rPh sb="13" eb="16">
      <t>ショリジョウ</t>
    </rPh>
    <rPh sb="17" eb="19">
      <t>ショリ</t>
    </rPh>
    <rPh sb="19" eb="21">
      <t>スイリョウ</t>
    </rPh>
    <rPh sb="21" eb="22">
      <t>ナド</t>
    </rPh>
    <rPh sb="23" eb="25">
      <t>トクセイ</t>
    </rPh>
    <rPh sb="26" eb="27">
      <t>オウ</t>
    </rPh>
    <rPh sb="29" eb="31">
      <t>キゾン</t>
    </rPh>
    <rPh sb="31" eb="33">
      <t>シセツ</t>
    </rPh>
    <rPh sb="38" eb="39">
      <t>アタイ</t>
    </rPh>
    <rPh sb="48" eb="50">
      <t>サンシュツ</t>
    </rPh>
    <rPh sb="51" eb="52">
      <t>オコナ</t>
    </rPh>
    <phoneticPr fontId="5"/>
  </si>
  <si>
    <t>標準値</t>
    <phoneticPr fontId="2"/>
  </si>
  <si>
    <t>処理場全体の処理水量当たりの
温室効果ガス排出量の標準値</t>
  </si>
  <si>
    <t>処理水量当たり温室効果ガス排出量の優良値(標準値×0.9)</t>
    <rPh sb="0" eb="4">
      <t>ショリスイリョウ</t>
    </rPh>
    <rPh sb="4" eb="5">
      <t>ア</t>
    </rPh>
    <rPh sb="7" eb="11">
      <t>オンシツコウカ</t>
    </rPh>
    <rPh sb="13" eb="16">
      <t>ハイシュツリョウ</t>
    </rPh>
    <rPh sb="17" eb="20">
      <t>ユウリョウチ</t>
    </rPh>
    <phoneticPr fontId="2"/>
  </si>
  <si>
    <t>2018年標準値</t>
    <rPh sb="4" eb="5">
      <t>ネン</t>
    </rPh>
    <phoneticPr fontId="5"/>
  </si>
  <si>
    <t>標準値の算出式</t>
    <rPh sb="0" eb="3">
      <t>ヒョウジュンチ</t>
    </rPh>
    <rPh sb="4" eb="6">
      <t>サンシュツ</t>
    </rPh>
    <rPh sb="6" eb="7">
      <t>シキ</t>
    </rPh>
    <phoneticPr fontId="2"/>
  </si>
  <si>
    <t>2018年標準値とするのに必要な残りの対策量
(対策後の排出量ー2018年標準値)</t>
    <rPh sb="4" eb="5">
      <t>ネン</t>
    </rPh>
    <rPh sb="13" eb="15">
      <t>ヒツヨウ</t>
    </rPh>
    <rPh sb="16" eb="17">
      <t>ノコ</t>
    </rPh>
    <rPh sb="19" eb="22">
      <t>タイサクリョウ</t>
    </rPh>
    <phoneticPr fontId="5"/>
  </si>
  <si>
    <t>※マイナス値であれば対策後の排出量は標準以下です。</t>
    <rPh sb="5" eb="6">
      <t>チ</t>
    </rPh>
    <phoneticPr fontId="2"/>
  </si>
  <si>
    <t>←2030年度の全電源平均の電力排出係数：0.25kg-CO₂/kWh（出典：2030年度におけるエネルギー需給の見通し）</t>
    <rPh sb="11" eb="13">
      <t>ヘイキン</t>
    </rPh>
    <phoneticPr fontId="5"/>
  </si>
  <si>
    <t>○日平均処理水量</t>
    <rPh sb="1" eb="2">
      <t>ニチ</t>
    </rPh>
    <rPh sb="2" eb="4">
      <t>ヘイキン</t>
    </rPh>
    <rPh sb="4" eb="6">
      <t>ショリ</t>
    </rPh>
    <rPh sb="6" eb="7">
      <t>スイ</t>
    </rPh>
    <rPh sb="7" eb="8">
      <t>リョウ</t>
    </rPh>
    <phoneticPr fontId="5"/>
  </si>
  <si>
    <t>○標準値算出</t>
    <rPh sb="3" eb="4">
      <t>チ</t>
    </rPh>
    <rPh sb="4" eb="6">
      <t>サンシュツ</t>
    </rPh>
    <phoneticPr fontId="5"/>
  </si>
  <si>
    <t>排出係数(実態に応じて変更可能)</t>
    <rPh sb="0" eb="2">
      <t>ハイシュツ</t>
    </rPh>
    <rPh sb="2" eb="4">
      <t>ケイスウ</t>
    </rPh>
    <rPh sb="5" eb="7">
      <t>ジッタイ</t>
    </rPh>
    <rPh sb="8" eb="9">
      <t>オウ</t>
    </rPh>
    <rPh sb="11" eb="13">
      <t>ヘンコウ</t>
    </rPh>
    <rPh sb="13" eb="15">
      <t>カノウ</t>
    </rPh>
    <phoneticPr fontId="5"/>
  </si>
  <si>
    <t>指数</t>
    <rPh sb="0" eb="2">
      <t>シスウ</t>
    </rPh>
    <phoneticPr fontId="2"/>
  </si>
  <si>
    <t>4.　2030年度における目標値(目安)の算出</t>
    <rPh sb="7" eb="8">
      <t>ネン</t>
    </rPh>
    <rPh sb="8" eb="9">
      <t>ド</t>
    </rPh>
    <rPh sb="13" eb="15">
      <t>モクヒョウ</t>
    </rPh>
    <rPh sb="15" eb="16">
      <t>チ</t>
    </rPh>
    <rPh sb="17" eb="19">
      <t>メヤス</t>
    </rPh>
    <rPh sb="21" eb="23">
      <t>サンシュツ</t>
    </rPh>
    <phoneticPr fontId="5"/>
  </si>
  <si>
    <r>
      <t>2013年実績値</t>
    </r>
    <r>
      <rPr>
        <b/>
        <sz val="11"/>
        <color theme="1"/>
        <rFont val="游ゴシック"/>
        <family val="3"/>
        <charset val="128"/>
        <scheme val="minor"/>
      </rPr>
      <t>をもとに2030年度における目標値(目安)の算出を行う。</t>
    </r>
    <rPh sb="16" eb="18">
      <t>ネンド</t>
    </rPh>
    <rPh sb="22" eb="25">
      <t>モクヒョウチ</t>
    </rPh>
    <rPh sb="30" eb="32">
      <t>サンシュツ</t>
    </rPh>
    <rPh sb="33" eb="34">
      <t>オコナ</t>
    </rPh>
    <phoneticPr fontId="5"/>
  </si>
  <si>
    <t>(目標値(目安)　年率2％削減した場合の数値)</t>
    <rPh sb="1" eb="4">
      <t>モクヒョウチ</t>
    </rPh>
    <rPh sb="9" eb="11">
      <t>ネンリツ</t>
    </rPh>
    <rPh sb="13" eb="15">
      <t>サクゲン</t>
    </rPh>
    <rPh sb="17" eb="19">
      <t>バアイ</t>
    </rPh>
    <rPh sb="20" eb="22">
      <t>スウチ</t>
    </rPh>
    <phoneticPr fontId="5"/>
  </si>
  <si>
    <t>2030年目標値(目安)</t>
    <rPh sb="4" eb="5">
      <t>ネン</t>
    </rPh>
    <rPh sb="5" eb="8">
      <t>モクヒョウチ</t>
    </rPh>
    <phoneticPr fontId="5"/>
  </si>
  <si>
    <t>・2030年目標値(目安)まで削減をするには</t>
    <rPh sb="5" eb="6">
      <t>ネン</t>
    </rPh>
    <rPh sb="6" eb="9">
      <t>モクヒョウチ</t>
    </rPh>
    <rPh sb="15" eb="17">
      <t>サクゲン</t>
    </rPh>
    <phoneticPr fontId="5"/>
  </si>
  <si>
    <t>※2018年実績値ー2030年目標値(目安)</t>
    <rPh sb="5" eb="6">
      <t>ネン</t>
    </rPh>
    <rPh sb="6" eb="8">
      <t>ジッセキ</t>
    </rPh>
    <rPh sb="8" eb="9">
      <t>チ</t>
    </rPh>
    <rPh sb="14" eb="15">
      <t>ネン</t>
    </rPh>
    <rPh sb="15" eb="18">
      <t>モクヒョウチ</t>
    </rPh>
    <phoneticPr fontId="5"/>
  </si>
  <si>
    <t>2030年目標値とするのに必要な残りの対策量
(対策後の排出量ー2030年目標値(目安))</t>
    <rPh sb="4" eb="5">
      <t>ネン</t>
    </rPh>
    <rPh sb="5" eb="8">
      <t>モクヒョウチ</t>
    </rPh>
    <rPh sb="13" eb="15">
      <t>ヒツヨウ</t>
    </rPh>
    <rPh sb="16" eb="17">
      <t>ノコ</t>
    </rPh>
    <rPh sb="19" eb="22">
      <t>タイサクリョウ</t>
    </rPh>
    <rPh sb="24" eb="27">
      <t>タイサクゴ</t>
    </rPh>
    <rPh sb="28" eb="31">
      <t>ハイシュツリョウ</t>
    </rPh>
    <rPh sb="36" eb="37">
      <t>ネン</t>
    </rPh>
    <rPh sb="37" eb="40">
      <t>モクヒョウチ</t>
    </rPh>
    <phoneticPr fontId="2"/>
  </si>
  <si>
    <t>※マイナス値であれば対策後の排出量は目標(目安)以下です。</t>
    <rPh sb="5" eb="6">
      <t>チ</t>
    </rPh>
    <phoneticPr fontId="2"/>
  </si>
  <si>
    <t>対策No.11</t>
  </si>
  <si>
    <t>対策No.12</t>
  </si>
  <si>
    <t>対策No.13</t>
  </si>
  <si>
    <t>対策No.14</t>
  </si>
  <si>
    <t>対策No.15</t>
  </si>
  <si>
    <t>対策No.16</t>
  </si>
  <si>
    <t>対策No.17</t>
  </si>
  <si>
    <t>対策No.18</t>
  </si>
  <si>
    <t>対策No.19</t>
  </si>
  <si>
    <t>対策No.20</t>
  </si>
  <si>
    <t>参考HP：https://www.jiwet.or.jp/publicity/publication/manuals</t>
    <rPh sb="0" eb="2">
      <t>サンコウ</t>
    </rPh>
    <phoneticPr fontId="2"/>
  </si>
  <si>
    <t>参考HP：https://www.env.go.jp/earth/ondanka/gel/ghg-guideline/sewer/manuals.html</t>
    <rPh sb="0" eb="2">
      <t>サンコウ</t>
    </rPh>
    <phoneticPr fontId="2"/>
  </si>
  <si>
    <t>参考HP：http://www.nilim.go.jp/lab/ecg/bdash/h26_hitachi.htm</t>
    <rPh sb="0" eb="2">
      <t>サンコウ</t>
    </rPh>
    <phoneticPr fontId="2"/>
  </si>
  <si>
    <t>参考HP：http://www.nilim.go.jp/lab/ecg/bdash/h28_sanki.htm</t>
    <rPh sb="0" eb="2">
      <t>サンコウ</t>
    </rPh>
    <phoneticPr fontId="2"/>
  </si>
  <si>
    <t>参考HP：http://www.nilim.go.jp/lab/ecg/bdash/h26_meta.htm</t>
    <rPh sb="0" eb="2">
      <t>サンコウ</t>
    </rPh>
    <phoneticPr fontId="2"/>
  </si>
  <si>
    <t>参考HP：http://www.nilim.go.jp/lab/ecg/bdash/h23_meta.htm</t>
    <rPh sb="0" eb="2">
      <t>サンコウ</t>
    </rPh>
    <phoneticPr fontId="2"/>
  </si>
  <si>
    <t>参考HP：https://www.env.go.jp/earth/ondanka/gel/ghg-guideline/sewer/manuals.html</t>
    <rPh sb="0" eb="2">
      <t>サンコウ</t>
    </rPh>
    <phoneticPr fontId="2"/>
  </si>
  <si>
    <t>参考HP：http://www.nilim.go.jp/lab/ecg/bdash/h25_meta.htm</t>
    <rPh sb="0" eb="2">
      <t>サンコウ</t>
    </rPh>
    <phoneticPr fontId="2"/>
  </si>
  <si>
    <t>参考HP：http://www.nilim.go.jp/lab/ecg/bdash/h25_takuma.htm</t>
    <rPh sb="0" eb="2">
      <t>サンコウ</t>
    </rPh>
    <phoneticPr fontId="2"/>
  </si>
  <si>
    <t>参考HP：http://www.nilim.go.jp/lab/ecg/bdash/h29_jfe.htm</t>
    <rPh sb="0" eb="2">
      <t>サンコウ</t>
    </rPh>
    <phoneticPr fontId="2"/>
  </si>
  <si>
    <r>
      <t>Y=発電電力量（A）(千kWh/年)×0.25(t-CO</t>
    </r>
    <r>
      <rPr>
        <vertAlign val="subscript"/>
        <sz val="11"/>
        <color theme="1"/>
        <rFont val="游ゴシック"/>
        <family val="3"/>
        <charset val="128"/>
        <scheme val="minor"/>
      </rPr>
      <t>2</t>
    </r>
    <r>
      <rPr>
        <sz val="11"/>
        <color theme="1"/>
        <rFont val="游ゴシック"/>
        <family val="2"/>
        <charset val="128"/>
        <scheme val="minor"/>
      </rPr>
      <t>/千kWh)</t>
    </r>
    <rPh sb="2" eb="4">
      <t>ハツデン</t>
    </rPh>
    <phoneticPr fontId="2"/>
  </si>
  <si>
    <t>参考HP：http://www.nilim.go.jp/lab/ecg/bdash/h30_kobelco.htm</t>
    <rPh sb="0" eb="2">
      <t>サンコウ</t>
    </rPh>
    <phoneticPr fontId="2"/>
  </si>
  <si>
    <t>含水率(%でない)</t>
    <rPh sb="0" eb="3">
      <t>ガンスイリツ</t>
    </rPh>
    <phoneticPr fontId="2"/>
  </si>
  <si>
    <t>水処理対策シート対策項目</t>
  </si>
  <si>
    <t>削減量</t>
    <rPh sb="0" eb="3">
      <t>サクゲンリョウ</t>
    </rPh>
    <phoneticPr fontId="2"/>
  </si>
  <si>
    <t>汚泥処理対策シート対策項目</t>
    <rPh sb="0" eb="4">
      <t>オデイショリ</t>
    </rPh>
    <rPh sb="4" eb="6">
      <t>タイサク</t>
    </rPh>
    <rPh sb="9" eb="11">
      <t>タイサク</t>
    </rPh>
    <rPh sb="11" eb="13">
      <t>コウモク</t>
    </rPh>
    <phoneticPr fontId="2"/>
  </si>
  <si>
    <t>追加対策シート対策項目</t>
    <rPh sb="0" eb="2">
      <t>ツイカ</t>
    </rPh>
    <rPh sb="2" eb="4">
      <t>タイサク</t>
    </rPh>
    <rPh sb="7" eb="9">
      <t>タイサク</t>
    </rPh>
    <rPh sb="9" eb="11">
      <t>コウモク</t>
    </rPh>
    <phoneticPr fontId="2"/>
  </si>
  <si>
    <t>合計</t>
    <rPh sb="0" eb="2">
      <t>ゴウケイ</t>
    </rPh>
    <phoneticPr fontId="2"/>
  </si>
  <si>
    <t>対策項目</t>
    <rPh sb="0" eb="2">
      <t>タイサク</t>
    </rPh>
    <rPh sb="2" eb="4">
      <t>コウモク</t>
    </rPh>
    <phoneticPr fontId="2"/>
  </si>
  <si>
    <t>全体に対する寄与率
(削減量÷2018年実績値×100)</t>
    <rPh sb="0" eb="2">
      <t>ゼンタイ</t>
    </rPh>
    <rPh sb="3" eb="4">
      <t>タイ</t>
    </rPh>
    <rPh sb="6" eb="9">
      <t>キヨリツ</t>
    </rPh>
    <rPh sb="11" eb="14">
      <t>サクゲンリョウ</t>
    </rPh>
    <rPh sb="19" eb="20">
      <t>ネン</t>
    </rPh>
    <rPh sb="20" eb="23">
      <t>ジッセキチ</t>
    </rPh>
    <phoneticPr fontId="2"/>
  </si>
  <si>
    <r>
      <t>こちらの</t>
    </r>
    <r>
      <rPr>
        <sz val="10.5"/>
        <color rgb="FF222222"/>
        <rFont val="Arial"/>
        <family val="2"/>
      </rPr>
      <t>URL</t>
    </r>
    <r>
      <rPr>
        <sz val="10.5"/>
        <color rgb="FF222222"/>
        <rFont val="游明朝"/>
        <family val="1"/>
        <charset val="128"/>
      </rPr>
      <t>にて省エネや創エネ等を検索いただくと様々な脱炭素に資する技術のマニュアルが確認できます。</t>
    </r>
  </si>
  <si>
    <t>下記に一例を示します。</t>
  </si>
  <si>
    <r>
      <t>①下水道における地球温暖化対策マニュアル（環境省・国土交通省　</t>
    </r>
    <r>
      <rPr>
        <sz val="10.5"/>
        <color rgb="FF222222"/>
        <rFont val="Arial"/>
        <family val="2"/>
      </rPr>
      <t>2016</t>
    </r>
    <r>
      <rPr>
        <sz val="10.5"/>
        <color rgb="FF222222"/>
        <rFont val="游明朝"/>
        <family val="1"/>
        <charset val="128"/>
      </rPr>
      <t>年</t>
    </r>
    <r>
      <rPr>
        <sz val="10.5"/>
        <color rgb="FF222222"/>
        <rFont val="Arial"/>
        <family val="2"/>
      </rPr>
      <t>3</t>
    </r>
    <r>
      <rPr>
        <sz val="10.5"/>
        <color rgb="FF222222"/>
        <rFont val="游明朝"/>
        <family val="1"/>
        <charset val="128"/>
      </rPr>
      <t>月）</t>
    </r>
  </si>
  <si>
    <r>
      <t>③</t>
    </r>
    <r>
      <rPr>
        <sz val="10.5"/>
        <color theme="1"/>
        <rFont val="游明朝"/>
        <family val="1"/>
        <charset val="128"/>
      </rPr>
      <t>OD法における省エネ対策に関する参考文献：</t>
    </r>
  </si>
  <si>
    <t>オキシデーションディッチ法の省エネ技術に関する技術資料(公益財団法人　日本下水道新技術機構　2017年3月）</t>
  </si>
  <si>
    <t>https://www.jiwet.or.jp/publicity/publication/manuals</t>
  </si>
  <si>
    <t>下水処理場の省エネ診断に関する技術マニュアル(公益財団法人　日本下水道新技術機構　2022年9月)　</t>
  </si>
  <si>
    <t>参考文献等</t>
    <phoneticPr fontId="2"/>
  </si>
  <si>
    <t>https://www.env.go.jp/earth/ondanka/gel/ghg-guideline/sewer/manuals.html</t>
    <phoneticPr fontId="2"/>
  </si>
  <si>
    <r>
      <t>②下水処理場のエネルギー最適化に向けた省エネ技術導入マニュアル（案）</t>
    </r>
    <r>
      <rPr>
        <sz val="10.5"/>
        <color rgb="FF222222"/>
        <rFont val="游明朝"/>
        <family val="1"/>
        <charset val="128"/>
      </rPr>
      <t>（国土交通省　水管理・国土保全局　下水道部　</t>
    </r>
    <r>
      <rPr>
        <sz val="10.5"/>
        <color rgb="FF222222"/>
        <rFont val="Arial"/>
        <family val="2"/>
      </rPr>
      <t>2019</t>
    </r>
    <r>
      <rPr>
        <sz val="10.5"/>
        <color rgb="FF222222"/>
        <rFont val="游明朝"/>
        <family val="1"/>
        <charset val="128"/>
      </rPr>
      <t>年</t>
    </r>
    <r>
      <rPr>
        <sz val="10.5"/>
        <color rgb="FF222222"/>
        <rFont val="Arial"/>
        <family val="2"/>
      </rPr>
      <t>6</t>
    </r>
    <r>
      <rPr>
        <sz val="10.5"/>
        <color rgb="FF222222"/>
        <rFont val="游明朝"/>
        <family val="1"/>
        <charset val="128"/>
      </rPr>
      <t>月）</t>
    </r>
    <phoneticPr fontId="2"/>
  </si>
  <si>
    <t>④運転管理改善手法に関する参考文献：</t>
    <phoneticPr fontId="2"/>
  </si>
  <si>
    <t>課題解決技術支援ツール（試行版）   https://sewage-tech.net/　</t>
  </si>
  <si>
    <t>特に対策メニューの少ないODにおける省エネ対策や運転管理改善手法については③、④を参考にされたい。</t>
    <phoneticPr fontId="2"/>
  </si>
  <si>
    <t>https://www.mlit.go.jp/mizukokudo/sewerage/mizukokudo_sewerage_tk_000379.html</t>
    <phoneticPr fontId="2"/>
  </si>
  <si>
    <t>本ツールは省エネのみを対象としているため、消費エネルギーの削減分のみを入力して下さい。</t>
    <rPh sb="0" eb="1">
      <t>ホン</t>
    </rPh>
    <rPh sb="5" eb="6">
      <t>ショウ</t>
    </rPh>
    <rPh sb="11" eb="13">
      <t>タイショウ</t>
    </rPh>
    <rPh sb="21" eb="23">
      <t>ショウヒ</t>
    </rPh>
    <rPh sb="29" eb="32">
      <t>サクゲンブン</t>
    </rPh>
    <rPh sb="35" eb="37">
      <t>ニュウリョク</t>
    </rPh>
    <rPh sb="39" eb="40">
      <t>クダ</t>
    </rPh>
    <phoneticPr fontId="2"/>
  </si>
  <si>
    <t>温室効果ガス削減量(合計)</t>
    <rPh sb="0" eb="4">
      <t>オンシツコウカ</t>
    </rPh>
    <rPh sb="6" eb="9">
      <t>サクゲンリョウ</t>
    </rPh>
    <rPh sb="10" eb="12">
      <t>ゴウケイ</t>
    </rPh>
    <phoneticPr fontId="2"/>
  </si>
  <si>
    <t>温室効果ガス削減量(省エネのみ)</t>
    <rPh sb="0" eb="4">
      <t>オンシツコウカ</t>
    </rPh>
    <rPh sb="6" eb="9">
      <t>サクゲンリョウ</t>
    </rPh>
    <rPh sb="10" eb="11">
      <t>ショウ</t>
    </rPh>
    <phoneticPr fontId="2"/>
  </si>
  <si>
    <r>
      <t>t-CO</t>
    </r>
    <r>
      <rPr>
        <vertAlign val="subscript"/>
        <sz val="11"/>
        <color rgb="FFFF0000"/>
        <rFont val="游ゴシック"/>
        <family val="3"/>
        <charset val="128"/>
        <scheme val="minor"/>
      </rPr>
      <t>2</t>
    </r>
    <r>
      <rPr>
        <sz val="11"/>
        <color rgb="FFFF0000"/>
        <rFont val="游ゴシック"/>
        <family val="3"/>
        <charset val="128"/>
        <scheme val="minor"/>
      </rPr>
      <t>/年</t>
    </r>
    <rPh sb="6" eb="7">
      <t>ネン</t>
    </rPh>
    <phoneticPr fontId="2"/>
  </si>
  <si>
    <r>
      <t>Y=消費電力量(MWh/年)×GHG排出量原単位(t-CO</t>
    </r>
    <r>
      <rPr>
        <vertAlign val="subscript"/>
        <sz val="11"/>
        <color rgb="FFFF0000"/>
        <rFont val="游ゴシック"/>
        <family val="3"/>
        <charset val="128"/>
        <scheme val="minor"/>
      </rPr>
      <t>2</t>
    </r>
    <r>
      <rPr>
        <sz val="11"/>
        <color rgb="FFFF0000"/>
        <rFont val="游ゴシック"/>
        <family val="3"/>
        <charset val="128"/>
        <scheme val="minor"/>
      </rPr>
      <t>/MWh)</t>
    </r>
    <rPh sb="2" eb="4">
      <t>ショウヒ</t>
    </rPh>
    <rPh sb="4" eb="6">
      <t>デンリョク</t>
    </rPh>
    <rPh sb="6" eb="7">
      <t>リョウ</t>
    </rPh>
    <rPh sb="12" eb="13">
      <t>ネン</t>
    </rPh>
    <rPh sb="18" eb="20">
      <t>ハイシュツ</t>
    </rPh>
    <rPh sb="20" eb="21">
      <t>リョウ</t>
    </rPh>
    <rPh sb="21" eb="24">
      <t>ゲンタンイ</t>
    </rPh>
    <phoneticPr fontId="2"/>
  </si>
  <si>
    <r>
      <t>Y=補助燃料使用量(L/年or m</t>
    </r>
    <r>
      <rPr>
        <vertAlign val="superscript"/>
        <sz val="11"/>
        <color rgb="FFFF0000"/>
        <rFont val="游ゴシック"/>
        <family val="3"/>
        <charset val="128"/>
        <scheme val="minor"/>
      </rPr>
      <t>3</t>
    </r>
    <r>
      <rPr>
        <sz val="11"/>
        <color rgb="FFFF0000"/>
        <rFont val="游ゴシック"/>
        <family val="3"/>
        <charset val="128"/>
        <scheme val="minor"/>
      </rPr>
      <t>/年)
×GHG排出量原単位(kg-CO</t>
    </r>
    <r>
      <rPr>
        <vertAlign val="subscript"/>
        <sz val="11"/>
        <color rgb="FFFF0000"/>
        <rFont val="游ゴシック"/>
        <family val="3"/>
        <charset val="128"/>
        <scheme val="minor"/>
      </rPr>
      <t>2</t>
    </r>
    <r>
      <rPr>
        <sz val="11"/>
        <color rgb="FFFF0000"/>
        <rFont val="游ゴシック"/>
        <family val="3"/>
        <charset val="128"/>
        <scheme val="minor"/>
      </rPr>
      <t>/Lor kg-CO2/m</t>
    </r>
    <r>
      <rPr>
        <vertAlign val="superscript"/>
        <sz val="11"/>
        <color rgb="FFFF0000"/>
        <rFont val="游ゴシック"/>
        <family val="3"/>
        <charset val="128"/>
        <scheme val="minor"/>
      </rPr>
      <t>3</t>
    </r>
    <r>
      <rPr>
        <sz val="11"/>
        <color rgb="FFFF0000"/>
        <rFont val="游ゴシック"/>
        <family val="3"/>
        <charset val="128"/>
        <scheme val="minor"/>
      </rPr>
      <t>)×10</t>
    </r>
    <r>
      <rPr>
        <vertAlign val="superscript"/>
        <sz val="11"/>
        <color rgb="FFFF0000"/>
        <rFont val="游ゴシック"/>
        <family val="3"/>
        <charset val="128"/>
        <scheme val="minor"/>
      </rPr>
      <t>-3</t>
    </r>
    <rPh sb="2" eb="4">
      <t>ホジョ</t>
    </rPh>
    <rPh sb="4" eb="6">
      <t>ネンリョウ</t>
    </rPh>
    <rPh sb="19" eb="20">
      <t>ネン</t>
    </rPh>
    <rPh sb="26" eb="28">
      <t>ハイシュツ</t>
    </rPh>
    <rPh sb="28" eb="29">
      <t>リョウ</t>
    </rPh>
    <rPh sb="29" eb="32">
      <t>ゲンタンイ</t>
    </rPh>
    <phoneticPr fontId="2"/>
  </si>
  <si>
    <r>
      <t>Y=補助燃料使用量(kL/年)×GHG排出量原単位(t-CO</t>
    </r>
    <r>
      <rPr>
        <vertAlign val="subscript"/>
        <sz val="11"/>
        <color rgb="FFFF0000"/>
        <rFont val="游ゴシック"/>
        <family val="3"/>
        <charset val="128"/>
        <scheme val="minor"/>
      </rPr>
      <t>2</t>
    </r>
    <r>
      <rPr>
        <sz val="11"/>
        <color rgb="FFFF0000"/>
        <rFont val="游ゴシック"/>
        <family val="3"/>
        <charset val="128"/>
        <scheme val="minor"/>
      </rPr>
      <t>/kL)</t>
    </r>
    <rPh sb="2" eb="4">
      <t>ホジョ</t>
    </rPh>
    <rPh sb="4" eb="6">
      <t>ネンリョウ</t>
    </rPh>
    <phoneticPr fontId="2"/>
  </si>
  <si>
    <r>
      <t>Y=消費電力量(MWh/年)×原単位(電気、kg-CO</t>
    </r>
    <r>
      <rPr>
        <vertAlign val="subscript"/>
        <sz val="11"/>
        <color rgb="FFFF0000"/>
        <rFont val="游ゴシック"/>
        <family val="3"/>
        <charset val="128"/>
        <scheme val="minor"/>
      </rPr>
      <t>2</t>
    </r>
    <r>
      <rPr>
        <sz val="11"/>
        <color rgb="FFFF0000"/>
        <rFont val="游ゴシック"/>
        <family val="3"/>
        <charset val="128"/>
        <scheme val="minor"/>
      </rPr>
      <t>/kWh)</t>
    </r>
    <rPh sb="2" eb="4">
      <t>ショウヒ</t>
    </rPh>
    <rPh sb="4" eb="6">
      <t>デンリョク</t>
    </rPh>
    <rPh sb="6" eb="7">
      <t>リョウ</t>
    </rPh>
    <rPh sb="12" eb="13">
      <t>ネン</t>
    </rPh>
    <rPh sb="15" eb="18">
      <t>ゲンタンイ</t>
    </rPh>
    <rPh sb="19" eb="21">
      <t>デンキ</t>
    </rPh>
    <phoneticPr fontId="2"/>
  </si>
  <si>
    <r>
      <t>Y=消費電力量（B）(千kWh/年)×0.25(t-CO</t>
    </r>
    <r>
      <rPr>
        <vertAlign val="subscript"/>
        <sz val="11"/>
        <color rgb="FFFF0000"/>
        <rFont val="游ゴシック"/>
        <family val="3"/>
        <charset val="128"/>
        <scheme val="minor"/>
      </rPr>
      <t>2</t>
    </r>
    <r>
      <rPr>
        <sz val="11"/>
        <color rgb="FFFF0000"/>
        <rFont val="游ゴシック"/>
        <family val="3"/>
        <charset val="128"/>
        <scheme val="minor"/>
      </rPr>
      <t>/千kWh)</t>
    </r>
    <rPh sb="2" eb="4">
      <t>ショウヒ</t>
    </rPh>
    <rPh sb="4" eb="6">
      <t>デンリョク</t>
    </rPh>
    <rPh sb="6" eb="7">
      <t>リョウ</t>
    </rPh>
    <rPh sb="11" eb="12">
      <t>セン</t>
    </rPh>
    <rPh sb="16" eb="17">
      <t>ネン</t>
    </rPh>
    <rPh sb="30" eb="31">
      <t>セン</t>
    </rPh>
    <phoneticPr fontId="2"/>
  </si>
  <si>
    <r>
      <t>Y=補助燃料使用量(m</t>
    </r>
    <r>
      <rPr>
        <vertAlign val="superscript"/>
        <sz val="10"/>
        <color rgb="FFFF0000"/>
        <rFont val="游ゴシック"/>
        <family val="3"/>
        <charset val="128"/>
        <scheme val="minor"/>
      </rPr>
      <t>3</t>
    </r>
    <r>
      <rPr>
        <sz val="10"/>
        <color rgb="FFFF0000"/>
        <rFont val="游ゴシック"/>
        <family val="3"/>
        <charset val="128"/>
        <scheme val="minor"/>
      </rPr>
      <t>/h or L/h)×稼働日数(日/年)×24(h/日)×GHG排出量原単位(kg-CO</t>
    </r>
    <r>
      <rPr>
        <vertAlign val="subscript"/>
        <sz val="10"/>
        <color rgb="FFFF0000"/>
        <rFont val="游ゴシック"/>
        <family val="3"/>
        <charset val="128"/>
        <scheme val="minor"/>
      </rPr>
      <t>2</t>
    </r>
    <r>
      <rPr>
        <sz val="10"/>
        <color rgb="FFFF0000"/>
        <rFont val="游ゴシック"/>
        <family val="3"/>
        <charset val="128"/>
        <scheme val="minor"/>
      </rPr>
      <t>/m</t>
    </r>
    <r>
      <rPr>
        <vertAlign val="superscript"/>
        <sz val="10"/>
        <color rgb="FFFF0000"/>
        <rFont val="游ゴシック"/>
        <family val="3"/>
        <charset val="128"/>
        <scheme val="minor"/>
      </rPr>
      <t>3</t>
    </r>
    <r>
      <rPr>
        <sz val="10"/>
        <color rgb="FFFF0000"/>
        <rFont val="游ゴシック"/>
        <family val="3"/>
        <charset val="128"/>
        <scheme val="minor"/>
      </rPr>
      <t xml:space="preserve"> or kg-CO</t>
    </r>
    <r>
      <rPr>
        <vertAlign val="subscript"/>
        <sz val="10"/>
        <color rgb="FFFF0000"/>
        <rFont val="游ゴシック"/>
        <family val="3"/>
        <charset val="128"/>
        <scheme val="minor"/>
      </rPr>
      <t>2</t>
    </r>
    <r>
      <rPr>
        <sz val="10"/>
        <color rgb="FFFF0000"/>
        <rFont val="游ゴシック"/>
        <family val="3"/>
        <charset val="128"/>
        <scheme val="minor"/>
      </rPr>
      <t>/L)×10</t>
    </r>
    <r>
      <rPr>
        <vertAlign val="superscript"/>
        <sz val="10"/>
        <color rgb="FFFF0000"/>
        <rFont val="游ゴシック"/>
        <family val="3"/>
        <charset val="128"/>
        <scheme val="minor"/>
      </rPr>
      <t>-3</t>
    </r>
    <rPh sb="44" eb="46">
      <t>ハイシュツ</t>
    </rPh>
    <rPh sb="46" eb="47">
      <t>リョウ</t>
    </rPh>
    <phoneticPr fontId="2"/>
  </si>
  <si>
    <r>
      <t>Y=消費電力量（C）(千kWh/年)×0.25(t-CO</t>
    </r>
    <r>
      <rPr>
        <vertAlign val="subscript"/>
        <sz val="11"/>
        <color rgb="FFFF0000"/>
        <rFont val="游ゴシック"/>
        <family val="3"/>
        <charset val="128"/>
        <scheme val="minor"/>
      </rPr>
      <t>2</t>
    </r>
    <r>
      <rPr>
        <sz val="11"/>
        <color rgb="FFFF0000"/>
        <rFont val="游ゴシック"/>
        <family val="3"/>
        <charset val="128"/>
        <scheme val="minor"/>
      </rPr>
      <t>/千kWh)</t>
    </r>
    <rPh sb="2" eb="4">
      <t>ショウヒ</t>
    </rPh>
    <rPh sb="4" eb="6">
      <t>デンリョク</t>
    </rPh>
    <rPh sb="6" eb="7">
      <t>リョウ</t>
    </rPh>
    <rPh sb="11" eb="12">
      <t>セン</t>
    </rPh>
    <rPh sb="16" eb="17">
      <t>ネン</t>
    </rPh>
    <rPh sb="30" eb="31">
      <t>セン</t>
    </rPh>
    <phoneticPr fontId="2"/>
  </si>
  <si>
    <t>※本ツールは省エネのみを対象としているため、消費エネルギーの削減分のみを入力して下さい。</t>
    <rPh sb="1" eb="2">
      <t>ホン</t>
    </rPh>
    <rPh sb="6" eb="7">
      <t>ショウ</t>
    </rPh>
    <rPh sb="12" eb="14">
      <t>タイショウ</t>
    </rPh>
    <rPh sb="22" eb="24">
      <t>ショウヒ</t>
    </rPh>
    <rPh sb="30" eb="33">
      <t>サクゲンブン</t>
    </rPh>
    <rPh sb="36" eb="38">
      <t>ニュウリョク</t>
    </rPh>
    <rPh sb="40" eb="41">
      <t>クダ</t>
    </rPh>
    <phoneticPr fontId="2"/>
  </si>
  <si>
    <t>小規模処理場</t>
    <rPh sb="0" eb="3">
      <t>ショウキボ</t>
    </rPh>
    <rPh sb="3" eb="6">
      <t>ショリジョウ</t>
    </rPh>
    <phoneticPr fontId="2"/>
  </si>
  <si>
    <t>※本ツールは省エネのみを対象としているため既設に消化設備がない場合、温室効果ガス排出量は増加する。</t>
    <rPh sb="21" eb="23">
      <t>キセツ</t>
    </rPh>
    <rPh sb="24" eb="26">
      <t>ショウカ</t>
    </rPh>
    <rPh sb="26" eb="28">
      <t>セツビ</t>
    </rPh>
    <rPh sb="31" eb="33">
      <t>バアイ</t>
    </rPh>
    <rPh sb="34" eb="38">
      <t>オンシツコウカ</t>
    </rPh>
    <rPh sb="40" eb="43">
      <t>ハイシュツリョウ</t>
    </rPh>
    <rPh sb="44" eb="46">
      <t>ゾウカ</t>
    </rPh>
    <phoneticPr fontId="2"/>
  </si>
  <si>
    <t>※本ツールは省エネのみを対象としており、創エネ、N₂O排出を考慮できないため温室効果ガス排出量は増加する。</t>
    <rPh sb="20" eb="21">
      <t>ソウ</t>
    </rPh>
    <rPh sb="27" eb="29">
      <t>ハイシュツ</t>
    </rPh>
    <rPh sb="30" eb="32">
      <t>コウリョ</t>
    </rPh>
    <rPh sb="38" eb="42">
      <t>オンシツコウカ</t>
    </rPh>
    <rPh sb="44" eb="47">
      <t>ハイシュツリョウ</t>
    </rPh>
    <rPh sb="48" eb="50">
      <t>ゾウカ</t>
    </rPh>
    <phoneticPr fontId="2"/>
  </si>
  <si>
    <t>・水処理の分類（複数の水処理方法を採用している場合、流入水量の比率が多い方法を選択してください。）
①OD法：オキシデーションディッチ法、高度処理オキシデーションディッチ法
②高度処理：嫌気無酸素好気法、循環式硝化脱窒法、硝化内生脱窒法、ステップ流入式多段硝化脱窒法、嫌気好気活性汚泥法
③標準法：標準活性汚泥法、その他上記に記載が無い水処理方法</t>
    <phoneticPr fontId="5"/>
  </si>
  <si>
    <t>⇒水処理の分類より最も現状に合うものを選択して下さい。</t>
    <rPh sb="1" eb="4">
      <t>ミズショリ</t>
    </rPh>
    <rPh sb="5" eb="7">
      <t>ブンルイ</t>
    </rPh>
    <rPh sb="9" eb="10">
      <t>モット</t>
    </rPh>
    <rPh sb="11" eb="13">
      <t>ゲンジョウ</t>
    </rPh>
    <rPh sb="14" eb="15">
      <t>ア</t>
    </rPh>
    <rPh sb="19" eb="21">
      <t>センタク</t>
    </rPh>
    <rPh sb="23" eb="24">
      <t>クダ</t>
    </rPh>
    <phoneticPr fontId="5"/>
  </si>
  <si>
    <t>資料編1　削減目標60万t-CO2削減に対応したツール(ツール本体) - 互換性あり.xlsx の互換性レポート</t>
  </si>
  <si>
    <t>2023/3/23 13:24 に実行</t>
  </si>
  <si>
    <t>このブックを以前のファイル形式で保存した場合、または以前のバージョンの Microsoft Excel で開いた場合、一覧表示されている機能は利用できなくなります。</t>
  </si>
  <si>
    <t>再現性の低下</t>
  </si>
  <si>
    <t>出現数</t>
  </si>
  <si>
    <t>バージョン</t>
  </si>
  <si>
    <t>選択したファイル形式でサポートされていない書式が、このブック内の一部のセルまたはスタイルに設定されています。このような書式は、選択したファイル形式で使用できる最も近い書式に変換されます。</t>
  </si>
  <si>
    <t>Excel 97-2003</t>
  </si>
  <si>
    <t>※本ツールは省エネのみを対象としており創エネ等を考慮できないため　既設の消化設備がない場合は温室効果ガス排出量は増加する。</t>
  </si>
  <si>
    <t>※本ツールは省エネのみを対象としており創エネ等を考慮できないため　既設の消化設備がない場合は温室効果ガス排出量は増加する。</t>
    <rPh sb="1" eb="2">
      <t>ホン</t>
    </rPh>
    <rPh sb="6" eb="7">
      <t>ショウ</t>
    </rPh>
    <rPh sb="12" eb="14">
      <t>タイショウ</t>
    </rPh>
    <rPh sb="22" eb="23">
      <t>トウ</t>
    </rPh>
    <rPh sb="33" eb="35">
      <t>キセツ</t>
    </rPh>
    <rPh sb="36" eb="38">
      <t>ショウカ</t>
    </rPh>
    <rPh sb="38" eb="40">
      <t>セツビ</t>
    </rPh>
    <rPh sb="43" eb="45">
      <t>バアイ</t>
    </rPh>
    <phoneticPr fontId="2"/>
  </si>
  <si>
    <t>参考HP：http://www.nilim.go.jp/lab/ecg/bdash/h30_ohara.htm</t>
    <rPh sb="0" eb="2">
      <t>サンコウ</t>
    </rPh>
    <phoneticPr fontId="2"/>
  </si>
  <si>
    <t>下水処理場における温室効果ガス排出量削減目標・実現手法設定支援ツール</t>
    <rPh sb="0" eb="5">
      <t>ゲスイショリジョウ</t>
    </rPh>
    <rPh sb="9" eb="13">
      <t>オンシツコウカ</t>
    </rPh>
    <rPh sb="15" eb="18">
      <t>ハイシュツリョウ</t>
    </rPh>
    <rPh sb="18" eb="20">
      <t>サクゲン</t>
    </rPh>
    <rPh sb="20" eb="22">
      <t>モクヒョウ</t>
    </rPh>
    <rPh sb="23" eb="25">
      <t>ジツゲン</t>
    </rPh>
    <rPh sb="25" eb="27">
      <t>シュホウ</t>
    </rPh>
    <rPh sb="27" eb="29">
      <t>セッテイ</t>
    </rPh>
    <rPh sb="29" eb="31">
      <t>シエン</t>
    </rPh>
    <phoneticPr fontId="2"/>
  </si>
  <si>
    <t>・汚泥処理対策No.5 【B－DASH】脱水・燃焼・発電を全体最適化した革新的下水汚泥エネルギー転換システム</t>
    <rPh sb="1" eb="3">
      <t>オデイ</t>
    </rPh>
    <rPh sb="3" eb="5">
      <t>ショリ</t>
    </rPh>
    <rPh sb="5" eb="7">
      <t>タイサク</t>
    </rPh>
    <phoneticPr fontId="2"/>
  </si>
  <si>
    <t>・汚泥処理対策No.6 【B－DASH】下水道バイオマスからの電力創造システム</t>
    <rPh sb="1" eb="3">
      <t>オデイ</t>
    </rPh>
    <rPh sb="3" eb="5">
      <t>ショリ</t>
    </rPh>
    <rPh sb="5" eb="7">
      <t>タイサク</t>
    </rPh>
    <phoneticPr fontId="2"/>
  </si>
  <si>
    <t>・汚泥処理対策No.7 【B－DASH】温室効果ガス削減を考慮した発電型汚泥焼却技術</t>
    <rPh sb="1" eb="3">
      <t>オデイ</t>
    </rPh>
    <rPh sb="3" eb="5">
      <t>ショリ</t>
    </rPh>
    <rPh sb="5" eb="7">
      <t>タイサク</t>
    </rPh>
    <phoneticPr fontId="2"/>
  </si>
  <si>
    <t>・汚泥処理対策No.8 【B－DASH】低コスト・省エネルギー型高濃度メタン発酵技術</t>
    <rPh sb="1" eb="3">
      <t>オデイ</t>
    </rPh>
    <rPh sb="3" eb="5">
      <t>ショリ</t>
    </rPh>
    <rPh sb="5" eb="7">
      <t>タイサク</t>
    </rPh>
    <phoneticPr fontId="2"/>
  </si>
  <si>
    <t>・汚泥処理対策No.9 【B－DASH】高濃度消化・省エネ型バイオガス精製による効率的エネルギー利活用技術</t>
    <rPh sb="1" eb="3">
      <t>オデイ</t>
    </rPh>
    <rPh sb="3" eb="5">
      <t>ショリ</t>
    </rPh>
    <rPh sb="5" eb="7">
      <t>タイサク</t>
    </rPh>
    <phoneticPr fontId="2"/>
  </si>
  <si>
    <t>・汚泥処理対策No.4  固形燃料化技術の導入</t>
    <rPh sb="1" eb="3">
      <t>オデイ</t>
    </rPh>
    <rPh sb="3" eb="5">
      <t>ショリ</t>
    </rPh>
    <rPh sb="5" eb="7">
      <t>タイサク</t>
    </rPh>
    <rPh sb="13" eb="17">
      <t>コケイネンリョウ</t>
    </rPh>
    <rPh sb="17" eb="18">
      <t>カ</t>
    </rPh>
    <rPh sb="18" eb="20">
      <t>ギジュツ</t>
    </rPh>
    <rPh sb="21" eb="23">
      <t>ドウニュウ</t>
    </rPh>
    <phoneticPr fontId="2"/>
  </si>
  <si>
    <t>【B－DASH】脱水・燃焼・発電を全体最適化した革新的下水汚泥エネルギー転換システム</t>
    <rPh sb="8" eb="10">
      <t>ダッスイ</t>
    </rPh>
    <phoneticPr fontId="2"/>
  </si>
  <si>
    <t>日平均処理水量</t>
    <rPh sb="0" eb="3">
      <t>ニチヘイキン</t>
    </rPh>
    <rPh sb="3" eb="7">
      <t>ショリスイリョウ</t>
    </rPh>
    <phoneticPr fontId="2"/>
  </si>
  <si>
    <t>千m³/年</t>
    <rPh sb="0" eb="1">
      <t>セン</t>
    </rPh>
    <rPh sb="4" eb="5">
      <t>ネン</t>
    </rPh>
    <phoneticPr fontId="2"/>
  </si>
  <si>
    <t>新技術電力原単位</t>
    <rPh sb="0" eb="3">
      <t>シンギジュツ</t>
    </rPh>
    <rPh sb="3" eb="5">
      <t>デンリョク</t>
    </rPh>
    <rPh sb="5" eb="8">
      <t>ゲンタンイ</t>
    </rPh>
    <phoneticPr fontId="2"/>
  </si>
  <si>
    <t>千kWh/千m³</t>
    <rPh sb="5" eb="6">
      <t>セン</t>
    </rPh>
    <phoneticPr fontId="2"/>
  </si>
  <si>
    <t>計算式</t>
    <rPh sb="0" eb="3">
      <t>ケイサンシキ</t>
    </rPh>
    <phoneticPr fontId="2"/>
  </si>
  <si>
    <t>②×③</t>
    <phoneticPr fontId="2"/>
  </si>
  <si>
    <t>（①－④）×⑤</t>
    <phoneticPr fontId="2"/>
  </si>
  <si>
    <t>※参考　低位発熱量の全国平均値『混合生汚泥は17,586 kJ/kg-DS、消化汚泥は15,872 kJ/kg-DS』</t>
    <rPh sb="1" eb="3">
      <t>サンコウ</t>
    </rPh>
    <rPh sb="4" eb="9">
      <t>テイイハツネツリョウ</t>
    </rPh>
    <rPh sb="10" eb="15">
      <t>ゼンコクヘイキンチ</t>
    </rPh>
    <rPh sb="16" eb="18">
      <t>コンゴウ</t>
    </rPh>
    <rPh sb="18" eb="19">
      <t>ナマ</t>
    </rPh>
    <rPh sb="19" eb="21">
      <t>オデイ</t>
    </rPh>
    <rPh sb="38" eb="42">
      <t>ショウカオデイ</t>
    </rPh>
    <phoneticPr fontId="2"/>
  </si>
  <si>
    <t>革新的技術</t>
    <rPh sb="0" eb="5">
      <t>カクシンテキギジュツ</t>
    </rPh>
    <phoneticPr fontId="2"/>
  </si>
  <si>
    <t>Y=N2O排出量原単位(kg-N2O/wet-t)×稼働日数(日/年)×投入汚泥量(wet-t/日)</t>
    <rPh sb="26" eb="28">
      <t>カドウ</t>
    </rPh>
    <rPh sb="28" eb="30">
      <t>ニッスウ</t>
    </rPh>
    <rPh sb="31" eb="32">
      <t>ヒ</t>
    </rPh>
    <rPh sb="33" eb="34">
      <t>ネン</t>
    </rPh>
    <phoneticPr fontId="2"/>
  </si>
  <si>
    <r>
      <t>N</t>
    </r>
    <r>
      <rPr>
        <vertAlign val="subscript"/>
        <sz val="11"/>
        <rFont val="游ゴシック"/>
        <family val="3"/>
        <charset val="128"/>
        <scheme val="minor"/>
      </rPr>
      <t>2</t>
    </r>
    <r>
      <rPr>
        <sz val="11"/>
        <rFont val="游ゴシック"/>
        <family val="3"/>
        <charset val="128"/>
        <scheme val="minor"/>
      </rPr>
      <t>O排出量原単位
(kg-N</t>
    </r>
    <r>
      <rPr>
        <vertAlign val="subscript"/>
        <sz val="11"/>
        <rFont val="游ゴシック"/>
        <family val="3"/>
        <charset val="128"/>
        <scheme val="minor"/>
      </rPr>
      <t>2</t>
    </r>
    <r>
      <rPr>
        <sz val="11"/>
        <rFont val="游ゴシック"/>
        <family val="3"/>
        <charset val="128"/>
        <scheme val="minor"/>
      </rPr>
      <t>O/wet-t)
※高温焼却時</t>
    </r>
    <rPh sb="3" eb="5">
      <t>ハイシュツ</t>
    </rPh>
    <rPh sb="5" eb="6">
      <t>リョウ</t>
    </rPh>
    <rPh sb="6" eb="9">
      <t>ゲンタンイ</t>
    </rPh>
    <rPh sb="26" eb="28">
      <t>コウオン</t>
    </rPh>
    <rPh sb="28" eb="30">
      <t>ショウキャク</t>
    </rPh>
    <rPh sb="30" eb="31">
      <t>ジ</t>
    </rPh>
    <phoneticPr fontId="2"/>
  </si>
  <si>
    <t>汚泥処理設備の消費電力量</t>
    <rPh sb="0" eb="4">
      <t>オデイショリ</t>
    </rPh>
    <rPh sb="4" eb="6">
      <t>セツビ</t>
    </rPh>
    <rPh sb="7" eb="9">
      <t>ショウヒ</t>
    </rPh>
    <rPh sb="9" eb="11">
      <t>デンリョク</t>
    </rPh>
    <rPh sb="11" eb="12">
      <t>リョウ</t>
    </rPh>
    <phoneticPr fontId="2"/>
  </si>
  <si>
    <t>大規模(100,000m³/日）</t>
    <phoneticPr fontId="2"/>
  </si>
  <si>
    <t>100,000m³/日～</t>
    <phoneticPr fontId="2"/>
  </si>
  <si>
    <t>10,000m³/日～100,000m³/日</t>
    <rPh sb="8" eb="9">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</si>
</sst>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0"/>
    <numFmt numFmtId="177" formatCode="#,##0_ "/>
    <numFmt numFmtId="178" formatCode="#,##0.0_ "/>
    <numFmt numFmtId="179" formatCode="0.0%"/>
    <numFmt numFmtId="180" formatCode="0.0_ "/>
    <numFmt numFmtId="181" formatCode="0_ "/>
    <numFmt numFmtId="182" formatCode="0.00_ "/>
    <numFmt numFmtId="183" formatCode="0_);[Red]\(0\)"/>
    <numFmt numFmtId="184" formatCode="#,##0_);[Red]\(#,##0\)"/>
    <numFmt numFmtId="185" formatCode="0.0_);[Red]\(0.0\)"/>
    <numFmt numFmtId="186" formatCode="0.000_ "/>
    <numFmt numFmtId="187" formatCode="#,##0.000_ "/>
    <numFmt numFmtId="188" formatCode="#,##0.00_ "/>
    <numFmt numFmtId="189" formatCode="#,##0.0"/>
    <numFmt numFmtId="190" formatCode="0.0000"/>
  </numFmts>
  <fonts count="67"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vertAlign val="superscript"/>
      <sz val="11"/>
      <color theme="1"/>
      <name val="游ゴシック"/>
      <family val="3"/>
      <charset val="128"/>
      <scheme val="minor"/>
    </font>
    <font>
      <b/>
      <sz val="11"/>
      <color theme="1"/>
      <name val="游ゴシック"/>
      <family val="3"/>
      <charset val="128"/>
      <scheme val="minor"/>
    </font>
    <font>
      <sz val="11"/>
      <color theme="1"/>
      <name val="游ゴシック"/>
      <family val="3"/>
      <charset val="128"/>
      <scheme val="minor"/>
    </font>
    <font>
      <b/>
      <sz val="11"/>
      <color rgb="FFFF0000"/>
      <name val="游ゴシック"/>
      <family val="3"/>
      <charset val="128"/>
      <scheme val="minor"/>
    </font>
    <font>
      <b/>
      <sz val="16"/>
      <color theme="1"/>
      <name val="游ゴシック"/>
      <family val="3"/>
      <charset val="128"/>
      <scheme val="minor"/>
    </font>
    <font>
      <sz val="11"/>
      <name val="游ゴシック"/>
      <family val="3"/>
      <charset val="128"/>
      <scheme val="minor"/>
    </font>
    <font>
      <b/>
      <vertAlign val="superscript"/>
      <sz val="11"/>
      <color theme="1"/>
      <name val="游ゴシック"/>
      <family val="3"/>
      <charset val="128"/>
      <scheme val="minor"/>
    </font>
    <font>
      <b/>
      <vertAlign val="subscript"/>
      <sz val="11"/>
      <color theme="1"/>
      <name val="游ゴシック"/>
      <family val="3"/>
      <charset val="128"/>
      <scheme val="minor"/>
    </font>
    <font>
      <u/>
      <sz val="11"/>
      <color theme="10"/>
      <name val="游ゴシック"/>
      <family val="2"/>
      <charset val="128"/>
      <scheme val="minor"/>
    </font>
    <font>
      <b/>
      <sz val="14"/>
      <color theme="1"/>
      <name val="游ゴシック"/>
      <family val="3"/>
      <charset val="128"/>
      <scheme val="minor"/>
    </font>
    <font>
      <b/>
      <sz val="11"/>
      <name val="游ゴシック"/>
      <family val="3"/>
      <charset val="128"/>
      <scheme val="minor"/>
    </font>
    <font>
      <sz val="11"/>
      <color rgb="FFFF0000"/>
      <name val="游ゴシック"/>
      <family val="2"/>
      <charset val="128"/>
      <scheme val="minor"/>
    </font>
    <font>
      <sz val="20"/>
      <color theme="1"/>
      <name val="游ゴシック"/>
      <family val="2"/>
      <charset val="128"/>
      <scheme val="minor"/>
    </font>
    <font>
      <sz val="11"/>
      <name val="游ゴシック"/>
      <family val="2"/>
      <charset val="128"/>
      <scheme val="minor"/>
    </font>
    <font>
      <sz val="11"/>
      <color rgb="FFFF0000"/>
      <name val="游ゴシック"/>
      <family val="3"/>
      <charset val="128"/>
      <scheme val="minor"/>
    </font>
    <font>
      <vertAlign val="subscript"/>
      <sz val="11"/>
      <name val="游ゴシック"/>
      <family val="3"/>
      <charset val="128"/>
      <scheme val="minor"/>
    </font>
    <font>
      <vertAlign val="superscript"/>
      <sz val="11"/>
      <name val="游ゴシック"/>
      <family val="3"/>
      <charset val="128"/>
      <scheme val="minor"/>
    </font>
    <font>
      <sz val="11"/>
      <name val="ＭＳ ゴシック"/>
      <family val="3"/>
      <charset val="128"/>
    </font>
    <font>
      <sz val="20"/>
      <color rgb="FFFF0000"/>
      <name val="游ゴシック"/>
      <family val="3"/>
      <charset val="128"/>
      <scheme val="minor"/>
    </font>
    <font>
      <sz val="11"/>
      <color theme="1"/>
      <name val="游ゴシック"/>
      <family val="3"/>
      <charset val="128"/>
    </font>
    <font>
      <sz val="18"/>
      <color theme="1"/>
      <name val="游ゴシック"/>
      <family val="2"/>
      <charset val="128"/>
      <scheme val="minor"/>
    </font>
    <font>
      <sz val="18"/>
      <color theme="1"/>
      <name val="游ゴシック"/>
      <family val="3"/>
      <charset val="128"/>
      <scheme val="minor"/>
    </font>
    <font>
      <sz val="11"/>
      <name val="游ゴシック"/>
      <family val="3"/>
      <charset val="128"/>
    </font>
    <font>
      <sz val="18"/>
      <name val="游ゴシック"/>
      <family val="3"/>
      <charset val="128"/>
      <scheme val="minor"/>
    </font>
    <font>
      <vertAlign val="subscript"/>
      <sz val="11"/>
      <color theme="1"/>
      <name val="游ゴシック"/>
      <family val="3"/>
      <charset val="128"/>
      <scheme val="minor"/>
    </font>
    <font>
      <sz val="11"/>
      <name val="ＭＳ Ｐゴシック"/>
      <family val="3"/>
      <charset val="128"/>
    </font>
    <font>
      <sz val="9"/>
      <color theme="1"/>
      <name val="游ゴシック"/>
      <family val="2"/>
      <charset val="128"/>
      <scheme val="minor"/>
    </font>
    <font>
      <sz val="9"/>
      <color theme="1"/>
      <name val="游ゴシック"/>
      <family val="3"/>
      <charset val="128"/>
      <scheme val="minor"/>
    </font>
    <font>
      <sz val="10"/>
      <color theme="1"/>
      <name val="游ゴシック"/>
      <family val="2"/>
      <charset val="128"/>
      <scheme val="minor"/>
    </font>
    <font>
      <sz val="10"/>
      <color theme="1"/>
      <name val="游ゴシック"/>
      <family val="3"/>
      <charset val="128"/>
      <scheme val="minor"/>
    </font>
    <font>
      <sz val="14"/>
      <color theme="1"/>
      <name val="游ゴシック"/>
      <family val="2"/>
      <charset val="128"/>
      <scheme val="minor"/>
    </font>
    <font>
      <sz val="14"/>
      <color theme="1"/>
      <name val="游ゴシック"/>
      <family val="3"/>
      <charset val="128"/>
      <scheme val="minor"/>
    </font>
    <font>
      <sz val="10"/>
      <color theme="1"/>
      <name val="ＭＳ 明朝"/>
      <family val="1"/>
      <charset val="128"/>
    </font>
    <font>
      <sz val="10"/>
      <color indexed="8"/>
      <name val="ＭＳ 明朝"/>
      <family val="1"/>
      <charset val="128"/>
    </font>
    <font>
      <sz val="11"/>
      <color rgb="FF0070C0"/>
      <name val="游ゴシック"/>
      <family val="3"/>
      <charset val="128"/>
      <scheme val="minor"/>
    </font>
    <font>
      <sz val="10"/>
      <name val="游ゴシック"/>
      <family val="3"/>
      <charset val="128"/>
      <scheme val="minor"/>
    </font>
    <font>
      <vertAlign val="superscript"/>
      <sz val="10"/>
      <name val="游ゴシック"/>
      <family val="3"/>
      <charset val="128"/>
      <scheme val="minor"/>
    </font>
    <font>
      <vertAlign val="subscript"/>
      <sz val="10"/>
      <name val="游ゴシック"/>
      <family val="3"/>
      <charset val="128"/>
      <scheme val="minor"/>
    </font>
    <font>
      <sz val="11"/>
      <color theme="1"/>
      <name val="ＭＳ Ｐゴシック"/>
      <family val="2"/>
      <charset val="128"/>
    </font>
    <font>
      <sz val="14"/>
      <color theme="1"/>
      <name val="ＭＳ Ｐゴシック"/>
      <family val="3"/>
      <charset val="128"/>
    </font>
    <font>
      <sz val="6"/>
      <name val="ＭＳ Ｐゴシック"/>
      <family val="2"/>
      <charset val="128"/>
    </font>
    <font>
      <vertAlign val="superscript"/>
      <sz val="11"/>
      <color theme="1"/>
      <name val="ＭＳ Ｐゴシック"/>
      <family val="3"/>
      <charset val="128"/>
    </font>
    <font>
      <sz val="8"/>
      <color theme="1"/>
      <name val="ＭＳ Ｐゴシック"/>
      <family val="3"/>
      <charset val="128"/>
    </font>
    <font>
      <vertAlign val="superscript"/>
      <sz val="8"/>
      <color theme="1"/>
      <name val="ＭＳ Ｐゴシック"/>
      <family val="3"/>
      <charset val="128"/>
    </font>
    <font>
      <vertAlign val="subscript"/>
      <sz val="8"/>
      <color theme="1"/>
      <name val="ＭＳ Ｐゴシック"/>
      <family val="3"/>
      <charset val="128"/>
    </font>
    <font>
      <vertAlign val="subscript"/>
      <sz val="11"/>
      <color theme="1"/>
      <name val="ＭＳ Ｐゴシック"/>
      <family val="3"/>
      <charset val="128"/>
    </font>
    <font>
      <sz val="10"/>
      <color theme="1"/>
      <name val="ＭＳ Ｐゴシック"/>
      <family val="2"/>
      <charset val="128"/>
    </font>
    <font>
      <sz val="9"/>
      <color theme="1"/>
      <name val="ＭＳ Ｐゴシック"/>
      <family val="3"/>
      <charset val="128"/>
    </font>
    <font>
      <sz val="10"/>
      <color theme="1"/>
      <name val="ＭＳ Ｐゴシック"/>
      <family val="3"/>
      <charset val="128"/>
    </font>
    <font>
      <vertAlign val="superscript"/>
      <sz val="10"/>
      <color theme="1"/>
      <name val="ＭＳ Ｐゴシック"/>
      <family val="3"/>
      <charset val="128"/>
    </font>
    <font>
      <b/>
      <sz val="14"/>
      <color rgb="FFFF0000"/>
      <name val="ＭＳ Ｐゴシック"/>
      <family val="3"/>
      <charset val="128"/>
    </font>
    <font>
      <sz val="10.5"/>
      <color theme="1"/>
      <name val="游明朝"/>
      <family val="1"/>
      <charset val="128"/>
    </font>
    <font>
      <sz val="9"/>
      <color rgb="FFFF0000"/>
      <name val="游明朝"/>
      <family val="1"/>
      <charset val="128"/>
    </font>
    <font>
      <sz val="10.5"/>
      <color rgb="FF222222"/>
      <name val="游明朝"/>
      <family val="1"/>
      <charset val="128"/>
    </font>
    <font>
      <sz val="10.5"/>
      <color rgb="FF222222"/>
      <name val="Arial"/>
      <family val="2"/>
    </font>
    <font>
      <u/>
      <sz val="18"/>
      <color theme="10"/>
      <name val="游ゴシック"/>
      <family val="3"/>
      <charset val="128"/>
      <scheme val="minor"/>
    </font>
    <font>
      <vertAlign val="subscript"/>
      <sz val="11"/>
      <color rgb="FFFF0000"/>
      <name val="游ゴシック"/>
      <family val="3"/>
      <charset val="128"/>
      <scheme val="minor"/>
    </font>
    <font>
      <vertAlign val="superscript"/>
      <sz val="11"/>
      <color rgb="FFFF0000"/>
      <name val="游ゴシック"/>
      <family val="3"/>
      <charset val="128"/>
      <scheme val="minor"/>
    </font>
    <font>
      <sz val="10"/>
      <color rgb="FFFF0000"/>
      <name val="游ゴシック"/>
      <family val="3"/>
      <charset val="128"/>
      <scheme val="minor"/>
    </font>
    <font>
      <vertAlign val="superscript"/>
      <sz val="10"/>
      <color rgb="FFFF0000"/>
      <name val="游ゴシック"/>
      <family val="3"/>
      <charset val="128"/>
      <scheme val="minor"/>
    </font>
    <font>
      <vertAlign val="subscript"/>
      <sz val="10"/>
      <color rgb="FFFF0000"/>
      <name val="游ゴシック"/>
      <family val="3"/>
      <charset val="128"/>
      <scheme val="minor"/>
    </font>
    <font>
      <b/>
      <sz val="12"/>
      <color rgb="FF00B050"/>
      <name val="游ゴシック"/>
      <family val="3"/>
      <charset val="128"/>
      <scheme val="minor"/>
    </font>
    <font>
      <b/>
      <sz val="11"/>
      <color theme="1"/>
      <name val="游ゴシック"/>
      <family val="2"/>
      <charset val="128"/>
      <scheme val="minor"/>
    </font>
    <font>
      <b/>
      <sz val="10"/>
      <color rgb="FFFF0000"/>
      <name val="游ゴシック"/>
      <family val="3"/>
      <charset val="128"/>
      <scheme val="minor"/>
    </font>
  </fonts>
  <fills count="13">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D4F9FE"/>
        <bgColor indexed="64"/>
      </patternFill>
    </fill>
    <fill>
      <patternFill patternType="solid">
        <fgColor rgb="FFFFFF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s>
  <cellStyleXfs count="10">
    <xf numFmtId="0" fontId="0" fillId="0" borderId="0">
      <alignment vertical="center"/>
    </xf>
    <xf numFmtId="38" fontId="1" fillId="0" borderId="0" applyFont="0" applyFill="0" applyBorder="0" applyAlignment="0" applyProtection="0">
      <alignment vertical="center"/>
    </xf>
    <xf numFmtId="0" fontId="11" fillId="0" borderId="0" applyNumberFormat="0" applyFill="0" applyBorder="0" applyAlignment="0" applyProtection="0">
      <alignment vertical="center"/>
    </xf>
    <xf numFmtId="9" fontId="1" fillId="0" borderId="0" applyFont="0" applyFill="0" applyBorder="0" applyAlignment="0" applyProtection="0">
      <alignment vertical="center"/>
    </xf>
    <xf numFmtId="0" fontId="28" fillId="0" borderId="0"/>
    <xf numFmtId="0" fontId="35" fillId="0" borderId="0">
      <alignment vertical="center"/>
    </xf>
    <xf numFmtId="38" fontId="36" fillId="0" borderId="0" applyFont="0" applyFill="0" applyBorder="0" applyAlignment="0" applyProtection="0">
      <alignment vertical="center"/>
    </xf>
    <xf numFmtId="9" fontId="36" fillId="0" borderId="0" applyFont="0" applyFill="0" applyBorder="0" applyAlignment="0" applyProtection="0">
      <alignment vertical="center"/>
    </xf>
    <xf numFmtId="0" fontId="41" fillId="0" borderId="0">
      <alignment vertical="center"/>
    </xf>
    <xf numFmtId="38" fontId="41" fillId="0" borderId="0" applyFont="0" applyFill="0" applyBorder="0" applyAlignment="0" applyProtection="0">
      <alignment vertical="center"/>
    </xf>
  </cellStyleXfs>
  <cellXfs count="899">
    <xf numFmtId="0" fontId="0" fillId="0" borderId="0" xfId="0">
      <alignment vertical="center"/>
    </xf>
    <xf numFmtId="0" fontId="0" fillId="0" borderId="1" xfId="0" applyBorder="1">
      <alignment vertical="center"/>
    </xf>
    <xf numFmtId="0" fontId="0" fillId="0" borderId="1" xfId="0" applyBorder="1" applyAlignment="1">
      <alignment vertical="center" wrapText="1"/>
    </xf>
    <xf numFmtId="0" fontId="4" fillId="0" borderId="0" xfId="0" applyFont="1">
      <alignment vertical="center"/>
    </xf>
    <xf numFmtId="0" fontId="6" fillId="0" borderId="0" xfId="0" applyFont="1">
      <alignment vertical="center"/>
    </xf>
    <xf numFmtId="0" fontId="7" fillId="0" borderId="0" xfId="0" applyFont="1">
      <alignment vertical="center"/>
    </xf>
    <xf numFmtId="0" fontId="0" fillId="0" borderId="4" xfId="0" applyBorder="1">
      <alignment vertical="center"/>
    </xf>
    <xf numFmtId="0" fontId="0" fillId="3" borderId="1" xfId="0" applyFill="1" applyBorder="1">
      <alignment vertical="center"/>
    </xf>
    <xf numFmtId="0" fontId="0" fillId="4" borderId="1" xfId="0" applyFill="1" applyBorder="1">
      <alignment vertical="center"/>
    </xf>
    <xf numFmtId="0" fontId="5" fillId="0" borderId="1" xfId="0" applyFont="1" applyBorder="1">
      <alignment vertical="center"/>
    </xf>
    <xf numFmtId="0" fontId="0" fillId="0" borderId="1" xfId="0" applyBorder="1" applyAlignment="1">
      <alignment horizontal="left" vertical="center"/>
    </xf>
    <xf numFmtId="0" fontId="0" fillId="5" borderId="1" xfId="0" applyFill="1" applyBorder="1">
      <alignment vertical="center"/>
    </xf>
    <xf numFmtId="0" fontId="4" fillId="5" borderId="1" xfId="0" applyFont="1" applyFill="1" applyBorder="1">
      <alignment vertical="center"/>
    </xf>
    <xf numFmtId="0" fontId="0" fillId="0" borderId="3" xfId="0" applyBorder="1" applyAlignment="1">
      <alignment horizontal="center" vertical="center"/>
    </xf>
    <xf numFmtId="0" fontId="4" fillId="0" borderId="1" xfId="0" applyFont="1" applyBorder="1">
      <alignment vertical="center"/>
    </xf>
    <xf numFmtId="0" fontId="6" fillId="5" borderId="1" xfId="0" applyFont="1" applyFill="1" applyBorder="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4" borderId="1" xfId="0" applyFill="1" applyBorder="1" applyAlignment="1">
      <alignment horizontal="center" vertical="center"/>
    </xf>
    <xf numFmtId="0" fontId="0" fillId="5" borderId="1" xfId="0" applyFill="1" applyBorder="1" applyAlignment="1">
      <alignment horizontal="left" vertical="center"/>
    </xf>
    <xf numFmtId="0" fontId="4" fillId="0" borderId="6" xfId="0" applyFont="1" applyBorder="1" applyAlignment="1">
      <alignment vertical="center" wrapText="1"/>
    </xf>
    <xf numFmtId="0" fontId="5" fillId="5" borderId="1" xfId="0" applyFont="1" applyFill="1" applyBorder="1">
      <alignment vertical="center"/>
    </xf>
    <xf numFmtId="177" fontId="0" fillId="3" borderId="1" xfId="0" applyNumberFormat="1" applyFill="1" applyBorder="1">
      <alignment vertical="center"/>
    </xf>
    <xf numFmtId="2" fontId="0" fillId="3" borderId="1" xfId="0" applyNumberFormat="1" applyFill="1" applyBorder="1">
      <alignment vertical="center"/>
    </xf>
    <xf numFmtId="176" fontId="0" fillId="3" borderId="1" xfId="0" applyNumberFormat="1" applyFill="1" applyBorder="1">
      <alignment vertical="center"/>
    </xf>
    <xf numFmtId="0" fontId="0" fillId="5" borderId="1" xfId="0" applyFill="1" applyBorder="1" applyAlignment="1">
      <alignment vertical="center" wrapText="1"/>
    </xf>
    <xf numFmtId="0" fontId="0" fillId="5" borderId="1" xfId="0" applyFill="1" applyBorder="1" applyAlignment="1">
      <alignment horizontal="center" vertical="center"/>
    </xf>
    <xf numFmtId="0" fontId="4" fillId="5" borderId="1" xfId="0" applyFont="1" applyFill="1" applyBorder="1" applyAlignment="1">
      <alignment horizontal="right" vertical="center"/>
    </xf>
    <xf numFmtId="0" fontId="12" fillId="0" borderId="0" xfId="0" applyFont="1">
      <alignment vertical="center"/>
    </xf>
    <xf numFmtId="0" fontId="5" fillId="0" borderId="0" xfId="0" applyFont="1">
      <alignment vertical="center"/>
    </xf>
    <xf numFmtId="0" fontId="5" fillId="0" borderId="1" xfId="0" applyFont="1" applyBorder="1" applyAlignment="1">
      <alignment horizontal="center" vertical="center"/>
    </xf>
    <xf numFmtId="0" fontId="6" fillId="0" borderId="0" xfId="0" applyFont="1" applyAlignment="1">
      <alignment horizontal="left" vertical="center"/>
    </xf>
    <xf numFmtId="0" fontId="13" fillId="4" borderId="0" xfId="0" applyFont="1" applyFill="1">
      <alignment vertical="center"/>
    </xf>
    <xf numFmtId="0" fontId="8" fillId="4" borderId="0" xfId="0" applyFont="1" applyFill="1">
      <alignment vertical="center"/>
    </xf>
    <xf numFmtId="177" fontId="0" fillId="0" borderId="1" xfId="0" applyNumberFormat="1" applyBorder="1" applyAlignment="1">
      <alignment horizontal="center" vertical="center"/>
    </xf>
    <xf numFmtId="1" fontId="0" fillId="0" borderId="1" xfId="0" applyNumberFormat="1" applyBorder="1" applyAlignment="1">
      <alignment horizontal="center" vertical="center"/>
    </xf>
    <xf numFmtId="0" fontId="11" fillId="6" borderId="1" xfId="2" applyFill="1" applyBorder="1" applyAlignment="1">
      <alignment horizontal="center" vertical="center"/>
    </xf>
    <xf numFmtId="0" fontId="0" fillId="6" borderId="0" xfId="0" applyFill="1">
      <alignment vertical="center"/>
    </xf>
    <xf numFmtId="0" fontId="6" fillId="6" borderId="0" xfId="0" applyFont="1" applyFill="1">
      <alignment vertical="center"/>
    </xf>
    <xf numFmtId="38" fontId="0" fillId="0" borderId="1" xfId="0" applyNumberFormat="1" applyBorder="1" applyAlignment="1">
      <alignment horizontal="center" vertical="center"/>
    </xf>
    <xf numFmtId="176" fontId="0" fillId="0" borderId="0" xfId="0" applyNumberFormat="1">
      <alignment vertical="center"/>
    </xf>
    <xf numFmtId="0" fontId="0" fillId="0" borderId="9" xfId="0" applyBorder="1">
      <alignment vertical="center"/>
    </xf>
    <xf numFmtId="0" fontId="0" fillId="0" borderId="10" xfId="0" applyBorder="1">
      <alignment vertical="center"/>
    </xf>
    <xf numFmtId="0" fontId="0" fillId="0" borderId="12" xfId="0" applyBorder="1">
      <alignment vertical="center"/>
    </xf>
    <xf numFmtId="0" fontId="0" fillId="0" borderId="14" xfId="0" applyBorder="1">
      <alignment vertical="center"/>
    </xf>
    <xf numFmtId="0" fontId="0" fillId="0" borderId="15" xfId="0" applyBorder="1">
      <alignment vertical="center"/>
    </xf>
    <xf numFmtId="0" fontId="0" fillId="0" borderId="17" xfId="0" applyBorder="1">
      <alignment vertical="center"/>
    </xf>
    <xf numFmtId="0" fontId="0" fillId="0" borderId="20" xfId="0" applyBorder="1" applyAlignment="1">
      <alignment horizontal="center" vertical="center" wrapText="1"/>
    </xf>
    <xf numFmtId="0" fontId="0" fillId="0" borderId="21" xfId="0" applyBorder="1" applyAlignment="1">
      <alignment horizontal="center" vertical="center"/>
    </xf>
    <xf numFmtId="0" fontId="0" fillId="0" borderId="21" xfId="0" applyBorder="1" applyAlignment="1">
      <alignment horizontal="center" vertical="center" wrapText="1"/>
    </xf>
    <xf numFmtId="176" fontId="4" fillId="7" borderId="11" xfId="0" applyNumberFormat="1" applyFont="1" applyFill="1" applyBorder="1">
      <alignment vertical="center"/>
    </xf>
    <xf numFmtId="176" fontId="4" fillId="7" borderId="13" xfId="0" applyNumberFormat="1" applyFont="1" applyFill="1" applyBorder="1">
      <alignment vertical="center"/>
    </xf>
    <xf numFmtId="0" fontId="4" fillId="7" borderId="13" xfId="0" applyFont="1" applyFill="1" applyBorder="1">
      <alignment vertical="center"/>
    </xf>
    <xf numFmtId="0" fontId="4" fillId="7" borderId="16" xfId="0" applyFont="1" applyFill="1" applyBorder="1">
      <alignment vertical="center"/>
    </xf>
    <xf numFmtId="176" fontId="4" fillId="7" borderId="23" xfId="0" applyNumberFormat="1" applyFont="1" applyFill="1" applyBorder="1">
      <alignment vertical="center"/>
    </xf>
    <xf numFmtId="0" fontId="4" fillId="7" borderId="22" xfId="0" applyFont="1" applyFill="1" applyBorder="1" applyAlignment="1">
      <alignment horizontal="center" vertical="center"/>
    </xf>
    <xf numFmtId="1" fontId="0" fillId="3" borderId="1" xfId="0" applyNumberFormat="1" applyFill="1" applyBorder="1">
      <alignment vertical="center"/>
    </xf>
    <xf numFmtId="177" fontId="0" fillId="4" borderId="1" xfId="0" applyNumberFormat="1" applyFill="1" applyBorder="1">
      <alignment vertical="center"/>
    </xf>
    <xf numFmtId="0" fontId="0" fillId="0" borderId="0" xfId="0" applyAlignment="1">
      <alignment vertical="center" wrapText="1"/>
    </xf>
    <xf numFmtId="0" fontId="6" fillId="0" borderId="0" xfId="0" applyFont="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wrapText="1"/>
    </xf>
    <xf numFmtId="0" fontId="0" fillId="0" borderId="12" xfId="0" applyBorder="1" applyAlignment="1">
      <alignment horizontal="center" vertical="center" wrapText="1"/>
    </xf>
    <xf numFmtId="38" fontId="0" fillId="0" borderId="1" xfId="1" applyFont="1" applyBorder="1" applyAlignment="1">
      <alignment horizontal="center" vertical="center"/>
    </xf>
    <xf numFmtId="38" fontId="0" fillId="0" borderId="13" xfId="1" applyFont="1" applyBorder="1" applyAlignment="1">
      <alignment horizontal="center" vertical="center"/>
    </xf>
    <xf numFmtId="0" fontId="4" fillId="7" borderId="14" xfId="0" applyFont="1" applyFill="1" applyBorder="1" applyAlignment="1">
      <alignment horizontal="center" vertical="center"/>
    </xf>
    <xf numFmtId="0" fontId="4" fillId="7" borderId="15" xfId="0" applyFont="1" applyFill="1" applyBorder="1" applyAlignment="1">
      <alignment horizontal="center" vertical="center"/>
    </xf>
    <xf numFmtId="176" fontId="4" fillId="7" borderId="15" xfId="0" applyNumberFormat="1" applyFont="1" applyFill="1" applyBorder="1" applyAlignment="1">
      <alignment horizontal="center" vertical="center"/>
    </xf>
    <xf numFmtId="176" fontId="4" fillId="7" borderId="16" xfId="0" applyNumberFormat="1" applyFont="1" applyFill="1" applyBorder="1" applyAlignment="1">
      <alignment horizontal="center" vertical="center"/>
    </xf>
    <xf numFmtId="0" fontId="0" fillId="2" borderId="1" xfId="0" applyFill="1" applyBorder="1">
      <alignment vertical="center"/>
    </xf>
    <xf numFmtId="0" fontId="0" fillId="5" borderId="6" xfId="0" applyFill="1" applyBorder="1">
      <alignment vertical="center"/>
    </xf>
    <xf numFmtId="0" fontId="0" fillId="5" borderId="2" xfId="0" applyFill="1" applyBorder="1">
      <alignment vertical="center"/>
    </xf>
    <xf numFmtId="0" fontId="4" fillId="7" borderId="1" xfId="0" applyFont="1" applyFill="1" applyBorder="1" applyAlignment="1">
      <alignment horizontal="center" vertical="center" wrapText="1"/>
    </xf>
    <xf numFmtId="0" fontId="4" fillId="7" borderId="1" xfId="0" applyFont="1" applyFill="1" applyBorder="1" applyAlignment="1">
      <alignment horizontal="center" vertical="center"/>
    </xf>
    <xf numFmtId="176" fontId="4" fillId="0" borderId="0" xfId="0" applyNumberFormat="1" applyFont="1" applyAlignment="1">
      <alignment horizontal="center" vertical="center"/>
    </xf>
    <xf numFmtId="0" fontId="4" fillId="0" borderId="0" xfId="0" applyFont="1" applyAlignment="1">
      <alignment vertical="center" wrapText="1"/>
    </xf>
    <xf numFmtId="0" fontId="5" fillId="0" borderId="1" xfId="0" applyFont="1" applyBorder="1" applyAlignment="1">
      <alignment vertical="center" wrapText="1"/>
    </xf>
    <xf numFmtId="0" fontId="5" fillId="0" borderId="0" xfId="0" applyFont="1" applyAlignment="1">
      <alignment horizontal="center" vertical="center"/>
    </xf>
    <xf numFmtId="176" fontId="6" fillId="0" borderId="0" xfId="0" applyNumberFormat="1" applyFont="1" applyAlignment="1">
      <alignment horizontal="center" vertical="center"/>
    </xf>
    <xf numFmtId="0" fontId="5" fillId="0" borderId="0" xfId="0" applyFont="1" applyAlignment="1">
      <alignment vertical="center" wrapText="1"/>
    </xf>
    <xf numFmtId="176" fontId="13" fillId="7" borderId="1" xfId="0" applyNumberFormat="1" applyFont="1" applyFill="1" applyBorder="1" applyAlignment="1">
      <alignment horizontal="center" vertical="center"/>
    </xf>
    <xf numFmtId="177" fontId="0" fillId="0" borderId="0" xfId="0" applyNumberFormat="1">
      <alignment vertical="center"/>
    </xf>
    <xf numFmtId="0" fontId="0" fillId="5" borderId="1" xfId="0" applyFill="1" applyBorder="1" applyAlignment="1">
      <alignment horizontal="center" vertical="center" wrapText="1"/>
    </xf>
    <xf numFmtId="0" fontId="15" fillId="0" borderId="0" xfId="0" applyFont="1" applyAlignment="1">
      <alignment horizontal="left" vertical="center"/>
    </xf>
    <xf numFmtId="0" fontId="0" fillId="0" borderId="0" xfId="0" applyAlignment="1">
      <alignment horizontal="right"/>
    </xf>
    <xf numFmtId="0" fontId="14" fillId="0" borderId="0" xfId="0" applyFont="1" applyAlignment="1">
      <alignment horizontal="left" vertical="center"/>
    </xf>
    <xf numFmtId="0" fontId="0" fillId="8" borderId="1" xfId="0" applyFill="1" applyBorder="1" applyAlignment="1">
      <alignment horizontal="center" vertical="center"/>
    </xf>
    <xf numFmtId="0" fontId="16" fillId="0" borderId="0" xfId="0" applyFont="1" applyAlignment="1">
      <alignment horizontal="left" vertical="center"/>
    </xf>
    <xf numFmtId="0" fontId="8" fillId="8" borderId="1" xfId="0" applyFont="1" applyFill="1" applyBorder="1" applyAlignment="1">
      <alignment horizontal="center" vertical="center"/>
    </xf>
    <xf numFmtId="0" fontId="16" fillId="0" borderId="1" xfId="0" applyFont="1" applyBorder="1" applyAlignment="1">
      <alignment horizontal="center" vertical="center"/>
    </xf>
    <xf numFmtId="0" fontId="8" fillId="0" borderId="25" xfId="0" applyFont="1" applyBorder="1" applyAlignment="1">
      <alignment horizontal="center" vertical="center"/>
    </xf>
    <xf numFmtId="0" fontId="8" fillId="0" borderId="0" xfId="0" applyFont="1" applyAlignment="1">
      <alignment horizontal="center" vertical="center"/>
    </xf>
    <xf numFmtId="0" fontId="17" fillId="0" borderId="0" xfId="0" applyFont="1">
      <alignment vertical="center"/>
    </xf>
    <xf numFmtId="0" fontId="8" fillId="0" borderId="0" xfId="0" applyFont="1">
      <alignment vertical="center"/>
    </xf>
    <xf numFmtId="0" fontId="16" fillId="0" borderId="0" xfId="0" applyFont="1" applyAlignment="1">
      <alignment horizontal="center" vertical="center"/>
    </xf>
    <xf numFmtId="0" fontId="20" fillId="0" borderId="26" xfId="0" applyFont="1" applyBorder="1" applyAlignment="1">
      <alignment horizontal="center" vertical="center"/>
    </xf>
    <xf numFmtId="0" fontId="8" fillId="0" borderId="26" xfId="0" applyFont="1" applyBorder="1" applyAlignment="1">
      <alignment horizontal="center" vertical="center"/>
    </xf>
    <xf numFmtId="0" fontId="0" fillId="0" borderId="0" xfId="0" applyAlignment="1">
      <alignment horizontal="left" vertical="center"/>
    </xf>
    <xf numFmtId="0" fontId="6" fillId="0" borderId="27" xfId="0" applyFont="1" applyBorder="1" applyAlignment="1">
      <alignment horizontal="left" vertical="center"/>
    </xf>
    <xf numFmtId="0" fontId="0" fillId="0" borderId="28" xfId="0" applyBorder="1" applyAlignment="1">
      <alignment horizontal="center" vertical="center"/>
    </xf>
    <xf numFmtId="0" fontId="0" fillId="0" borderId="30" xfId="0" applyBorder="1" applyAlignment="1">
      <alignment horizontal="center" vertical="center"/>
    </xf>
    <xf numFmtId="0" fontId="8" fillId="0" borderId="31" xfId="0" applyFont="1" applyBorder="1" applyAlignment="1">
      <alignment horizontal="center" vertical="center"/>
    </xf>
    <xf numFmtId="0" fontId="0" fillId="0" borderId="8" xfId="0" applyBorder="1" applyAlignment="1">
      <alignment horizontal="left" vertical="center"/>
    </xf>
    <xf numFmtId="0" fontId="0" fillId="0" borderId="8" xfId="0" applyBorder="1" applyAlignment="1">
      <alignment horizontal="center" vertical="center"/>
    </xf>
    <xf numFmtId="178" fontId="0" fillId="0" borderId="0" xfId="0" applyNumberFormat="1" applyAlignment="1">
      <alignment horizontal="center" vertical="center"/>
    </xf>
    <xf numFmtId="0" fontId="0" fillId="0" borderId="3" xfId="0" applyBorder="1">
      <alignment vertical="center"/>
    </xf>
    <xf numFmtId="0" fontId="0" fillId="0" borderId="1" xfId="0" applyBorder="1" applyAlignment="1">
      <alignment horizontal="left" vertical="center" wrapText="1"/>
    </xf>
    <xf numFmtId="38" fontId="0" fillId="0" borderId="1" xfId="1" applyFont="1" applyFill="1" applyBorder="1" applyAlignment="1">
      <alignment horizontal="center" vertical="center"/>
    </xf>
    <xf numFmtId="0" fontId="22" fillId="0" borderId="0" xfId="0" applyFont="1" applyAlignment="1">
      <alignment horizontal="center" vertical="center"/>
    </xf>
    <xf numFmtId="0" fontId="0" fillId="0" borderId="26" xfId="0" applyBorder="1">
      <alignment vertical="center"/>
    </xf>
    <xf numFmtId="0" fontId="0" fillId="0" borderId="25" xfId="0" applyBorder="1">
      <alignment vertical="center"/>
    </xf>
    <xf numFmtId="179" fontId="0" fillId="0" borderId="0" xfId="0" applyNumberFormat="1" applyAlignment="1">
      <alignment horizontal="center" vertical="center"/>
    </xf>
    <xf numFmtId="0" fontId="16" fillId="8" borderId="1" xfId="0" applyFont="1" applyFill="1" applyBorder="1" applyAlignment="1">
      <alignment horizontal="center" vertical="center"/>
    </xf>
    <xf numFmtId="0" fontId="16" fillId="8" borderId="3" xfId="0" applyFont="1" applyFill="1" applyBorder="1" applyAlignment="1">
      <alignment horizontal="center" vertical="center"/>
    </xf>
    <xf numFmtId="38" fontId="0" fillId="0" borderId="26" xfId="1" applyFont="1" applyFill="1" applyBorder="1" applyAlignment="1">
      <alignment horizontal="center" vertical="center"/>
    </xf>
    <xf numFmtId="0" fontId="0" fillId="8" borderId="3" xfId="0" applyFill="1" applyBorder="1" applyAlignment="1">
      <alignment horizontal="center" vertical="center"/>
    </xf>
    <xf numFmtId="0" fontId="22" fillId="0" borderId="1" xfId="0" applyFont="1" applyBorder="1" applyAlignment="1">
      <alignment horizontal="left" vertical="center"/>
    </xf>
    <xf numFmtId="38" fontId="8" fillId="0" borderId="1" xfId="1" applyFont="1" applyFill="1" applyBorder="1" applyAlignment="1">
      <alignment horizontal="center" vertical="center"/>
    </xf>
    <xf numFmtId="0" fontId="8" fillId="0" borderId="1" xfId="0" applyFont="1" applyBorder="1" applyAlignment="1">
      <alignment vertical="center" wrapText="1"/>
    </xf>
    <xf numFmtId="0" fontId="8" fillId="0" borderId="1" xfId="0" applyFont="1" applyBorder="1">
      <alignment vertical="center"/>
    </xf>
    <xf numFmtId="0" fontId="0" fillId="0" borderId="27" xfId="0" applyBorder="1">
      <alignment vertical="center"/>
    </xf>
    <xf numFmtId="0" fontId="8" fillId="8" borderId="3" xfId="0" applyFont="1" applyFill="1" applyBorder="1" applyAlignment="1">
      <alignment horizontal="center" vertical="center"/>
    </xf>
    <xf numFmtId="180" fontId="0" fillId="0" borderId="0" xfId="0" applyNumberFormat="1" applyAlignment="1">
      <alignment horizontal="center" vertical="center"/>
    </xf>
    <xf numFmtId="179" fontId="13" fillId="0" borderId="1" xfId="3" applyNumberFormat="1" applyFont="1" applyFill="1" applyBorder="1" applyAlignment="1">
      <alignment horizontal="center" vertical="center"/>
    </xf>
    <xf numFmtId="181" fontId="8" fillId="0" borderId="0" xfId="0" applyNumberFormat="1" applyFont="1" applyAlignment="1">
      <alignment horizontal="center" vertical="center"/>
    </xf>
    <xf numFmtId="0" fontId="28" fillId="0" borderId="0" xfId="4"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wrapText="1"/>
    </xf>
    <xf numFmtId="0" fontId="8" fillId="0" borderId="3" xfId="0" applyFont="1" applyBorder="1" applyAlignment="1">
      <alignment horizontal="center" vertical="center" wrapText="1"/>
    </xf>
    <xf numFmtId="38" fontId="8" fillId="0" borderId="26" xfId="1" applyFont="1" applyFill="1" applyBorder="1" applyAlignment="1">
      <alignment horizontal="center" vertical="center"/>
    </xf>
    <xf numFmtId="0" fontId="8" fillId="0" borderId="0" xfId="0" applyFont="1" applyAlignment="1">
      <alignment horizontal="left" vertical="center"/>
    </xf>
    <xf numFmtId="0" fontId="8" fillId="0" borderId="3" xfId="0" applyFont="1" applyBorder="1" applyAlignment="1">
      <alignment horizontal="center" vertical="center"/>
    </xf>
    <xf numFmtId="0" fontId="0" fillId="0" borderId="29" xfId="0" applyBorder="1" applyAlignment="1">
      <alignment horizontal="center" vertical="center"/>
    </xf>
    <xf numFmtId="0" fontId="0" fillId="0" borderId="5" xfId="0" applyBorder="1" applyAlignment="1">
      <alignment horizontal="center" vertical="center"/>
    </xf>
    <xf numFmtId="0" fontId="8" fillId="0" borderId="1" xfId="0" applyFont="1" applyBorder="1" applyAlignment="1">
      <alignment horizontal="center"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wrapText="1"/>
    </xf>
    <xf numFmtId="0" fontId="0" fillId="0" borderId="26" xfId="0" applyBorder="1" applyAlignment="1">
      <alignment horizontal="left" vertical="center"/>
    </xf>
    <xf numFmtId="0" fontId="0" fillId="0" borderId="0" xfId="0" applyAlignment="1">
      <alignment horizontal="center" vertical="center" wrapText="1"/>
    </xf>
    <xf numFmtId="0" fontId="0" fillId="0" borderId="0" xfId="0" applyAlignment="1">
      <alignment horizontal="center" vertical="center"/>
    </xf>
    <xf numFmtId="38" fontId="0" fillId="3" borderId="1" xfId="1" applyFont="1" applyFill="1" applyBorder="1">
      <alignment vertical="center"/>
    </xf>
    <xf numFmtId="0" fontId="11" fillId="0" borderId="0" xfId="2" applyBorder="1">
      <alignment vertical="center"/>
    </xf>
    <xf numFmtId="38" fontId="0" fillId="4" borderId="1" xfId="1" applyFont="1" applyFill="1" applyBorder="1" applyAlignment="1">
      <alignment horizontal="center" vertical="center"/>
    </xf>
    <xf numFmtId="0" fontId="8" fillId="4" borderId="1" xfId="0" applyFont="1" applyFill="1" applyBorder="1" applyAlignment="1">
      <alignment horizontal="center" vertical="center"/>
    </xf>
    <xf numFmtId="38" fontId="0" fillId="3" borderId="1" xfId="1" applyFont="1" applyFill="1" applyBorder="1" applyAlignment="1">
      <alignment horizontal="center" vertical="center"/>
    </xf>
    <xf numFmtId="177" fontId="0" fillId="3" borderId="1" xfId="0" applyNumberFormat="1" applyFill="1" applyBorder="1" applyAlignment="1">
      <alignment horizontal="center" vertical="center"/>
    </xf>
    <xf numFmtId="0" fontId="8" fillId="5" borderId="1" xfId="0" applyFont="1" applyFill="1" applyBorder="1" applyAlignment="1">
      <alignment horizontal="center" vertical="center"/>
    </xf>
    <xf numFmtId="0" fontId="0" fillId="10" borderId="1" xfId="0" applyFill="1" applyBorder="1">
      <alignment vertical="center"/>
    </xf>
    <xf numFmtId="178" fontId="0" fillId="0" borderId="1" xfId="0" applyNumberFormat="1" applyBorder="1" applyAlignment="1">
      <alignment horizontal="center" vertical="center"/>
    </xf>
    <xf numFmtId="179" fontId="0" fillId="0" borderId="1" xfId="0" applyNumberFormat="1" applyBorder="1" applyAlignment="1">
      <alignment horizontal="center" vertical="center"/>
    </xf>
    <xf numFmtId="0" fontId="17" fillId="0" borderId="0" xfId="0" applyFont="1" applyAlignment="1">
      <alignment horizontal="center" vertical="center"/>
    </xf>
    <xf numFmtId="0" fontId="0" fillId="0" borderId="28" xfId="0" applyBorder="1" applyAlignment="1">
      <alignment horizontal="left" vertical="center"/>
    </xf>
    <xf numFmtId="177" fontId="0" fillId="0" borderId="28" xfId="0" applyNumberFormat="1" applyBorder="1" applyAlignment="1">
      <alignment horizontal="center" vertical="center"/>
    </xf>
    <xf numFmtId="9" fontId="0" fillId="0" borderId="0" xfId="0" applyNumberFormat="1" applyAlignment="1">
      <alignment horizontal="center" vertical="center"/>
    </xf>
    <xf numFmtId="0" fontId="12" fillId="0" borderId="0" xfId="0" applyFont="1" applyAlignment="1">
      <alignment horizontal="left" vertical="center"/>
    </xf>
    <xf numFmtId="0" fontId="0" fillId="0" borderId="2" xfId="0" applyBorder="1" applyAlignment="1">
      <alignment horizontal="left" vertical="center"/>
    </xf>
    <xf numFmtId="0" fontId="0" fillId="0" borderId="27" xfId="0" applyBorder="1" applyAlignment="1">
      <alignment horizontal="left" vertical="center"/>
    </xf>
    <xf numFmtId="0" fontId="0" fillId="0" borderId="31" xfId="0" applyBorder="1" applyAlignment="1">
      <alignment horizontal="left" vertical="center"/>
    </xf>
    <xf numFmtId="0" fontId="0" fillId="0" borderId="0" xfId="0" applyAlignment="1">
      <alignment horizontal="right" vertical="center"/>
    </xf>
    <xf numFmtId="177" fontId="0" fillId="0" borderId="26" xfId="0" applyNumberFormat="1" applyBorder="1" applyAlignment="1">
      <alignment horizontal="center" vertical="center"/>
    </xf>
    <xf numFmtId="0" fontId="0" fillId="0" borderId="26" xfId="0" applyBorder="1" applyAlignment="1">
      <alignment horizontal="left" vertical="center" wrapText="1"/>
    </xf>
    <xf numFmtId="177" fontId="0" fillId="0" borderId="3" xfId="0" applyNumberFormat="1" applyBorder="1" applyAlignment="1">
      <alignment horizontal="center" vertical="center"/>
    </xf>
    <xf numFmtId="183" fontId="0" fillId="0" borderId="1" xfId="0" applyNumberFormat="1" applyBorder="1" applyAlignment="1">
      <alignment horizontal="center" vertical="center"/>
    </xf>
    <xf numFmtId="0" fontId="0" fillId="0" borderId="0" xfId="0" applyAlignment="1">
      <alignment horizontal="center" vertical="center" shrinkToFit="1"/>
    </xf>
    <xf numFmtId="0" fontId="0" fillId="0" borderId="25" xfId="0" applyBorder="1" applyAlignment="1">
      <alignment horizontal="left" vertical="center"/>
    </xf>
    <xf numFmtId="0" fontId="0" fillId="0" borderId="6" xfId="0" applyBorder="1" applyAlignment="1">
      <alignment horizontal="left" vertical="center"/>
    </xf>
    <xf numFmtId="183" fontId="16" fillId="0" borderId="1" xfId="0" applyNumberFormat="1" applyFont="1" applyBorder="1" applyAlignment="1">
      <alignment horizontal="center" vertical="center"/>
    </xf>
    <xf numFmtId="183" fontId="16" fillId="0" borderId="3" xfId="0" applyNumberFormat="1" applyFont="1" applyBorder="1" applyAlignment="1">
      <alignment horizontal="center" vertical="center"/>
    </xf>
    <xf numFmtId="183" fontId="8" fillId="0" borderId="4" xfId="0" applyNumberFormat="1" applyFont="1" applyBorder="1" applyAlignment="1">
      <alignment horizontal="center" vertical="center"/>
    </xf>
    <xf numFmtId="0" fontId="8" fillId="0" borderId="4" xfId="0" applyFont="1" applyBorder="1" applyAlignment="1">
      <alignment horizontal="left" vertical="center" wrapText="1"/>
    </xf>
    <xf numFmtId="183" fontId="0" fillId="0" borderId="0" xfId="0" applyNumberFormat="1" applyAlignment="1">
      <alignment horizontal="center" vertical="center"/>
    </xf>
    <xf numFmtId="184" fontId="8" fillId="0" borderId="3" xfId="0" applyNumberFormat="1" applyFont="1" applyBorder="1" applyAlignment="1">
      <alignment horizontal="center" vertical="center"/>
    </xf>
    <xf numFmtId="185" fontId="0" fillId="0" borderId="4" xfId="0" applyNumberFormat="1" applyBorder="1" applyAlignment="1">
      <alignment horizontal="center" vertical="center"/>
    </xf>
    <xf numFmtId="0" fontId="0" fillId="0" borderId="29" xfId="0" applyBorder="1" applyAlignment="1">
      <alignment horizontal="left" vertical="center"/>
    </xf>
    <xf numFmtId="177" fontId="0" fillId="0" borderId="6" xfId="0" applyNumberFormat="1" applyBorder="1" applyAlignment="1">
      <alignment horizontal="center" vertical="center"/>
    </xf>
    <xf numFmtId="178" fontId="0" fillId="0" borderId="1" xfId="0" applyNumberFormat="1" applyBorder="1">
      <alignment vertical="center"/>
    </xf>
    <xf numFmtId="179" fontId="0" fillId="0" borderId="6" xfId="0" applyNumberFormat="1" applyBorder="1" applyAlignment="1">
      <alignment horizontal="center" vertical="center"/>
    </xf>
    <xf numFmtId="0" fontId="0" fillId="0" borderId="8" xfId="0" applyBorder="1" applyAlignment="1">
      <alignment horizontal="center" vertical="center" shrinkToFit="1"/>
    </xf>
    <xf numFmtId="0" fontId="29" fillId="0" borderId="0" xfId="0" applyFont="1">
      <alignment vertical="center"/>
    </xf>
    <xf numFmtId="0" fontId="30" fillId="0" borderId="0" xfId="0" applyFont="1">
      <alignment vertical="center"/>
    </xf>
    <xf numFmtId="177" fontId="0" fillId="0" borderId="0" xfId="0" applyNumberFormat="1" applyAlignment="1">
      <alignment horizontal="center" vertical="center"/>
    </xf>
    <xf numFmtId="179" fontId="0" fillId="0" borderId="0" xfId="0" applyNumberFormat="1" applyAlignment="1">
      <alignment horizontal="left" vertical="center"/>
    </xf>
    <xf numFmtId="9" fontId="0" fillId="4" borderId="1" xfId="0" applyNumberFormat="1" applyFill="1" applyBorder="1" applyAlignment="1">
      <alignment horizontal="center" vertical="center"/>
    </xf>
    <xf numFmtId="9" fontId="8" fillId="4" borderId="1" xfId="0" applyNumberFormat="1" applyFont="1" applyFill="1" applyBorder="1" applyAlignment="1">
      <alignment horizontal="center" vertical="center"/>
    </xf>
    <xf numFmtId="9" fontId="0" fillId="3" borderId="1" xfId="0" applyNumberFormat="1" applyFill="1" applyBorder="1" applyAlignment="1">
      <alignment horizontal="center" vertical="center"/>
    </xf>
    <xf numFmtId="178" fontId="0" fillId="3" borderId="1" xfId="0" applyNumberFormat="1" applyFill="1" applyBorder="1" applyAlignment="1">
      <alignment horizontal="center" vertical="center"/>
    </xf>
    <xf numFmtId="179" fontId="0" fillId="5" borderId="1" xfId="0" applyNumberFormat="1" applyFill="1" applyBorder="1" applyAlignment="1">
      <alignment horizontal="center" vertical="center"/>
    </xf>
    <xf numFmtId="9" fontId="0" fillId="5" borderId="1" xfId="0" applyNumberFormat="1" applyFill="1" applyBorder="1" applyAlignment="1">
      <alignment horizontal="center" vertical="center"/>
    </xf>
    <xf numFmtId="0" fontId="16" fillId="5" borderId="1" xfId="0" applyFont="1" applyFill="1" applyBorder="1" applyAlignment="1">
      <alignment horizontal="center" vertical="center"/>
    </xf>
    <xf numFmtId="0" fontId="16" fillId="5" borderId="1" xfId="0" applyFont="1" applyFill="1" applyBorder="1" applyAlignment="1">
      <alignment horizontal="center" vertical="center" shrinkToFit="1"/>
    </xf>
    <xf numFmtId="0" fontId="8" fillId="5" borderId="1" xfId="0" applyFont="1" applyFill="1" applyBorder="1" applyAlignment="1">
      <alignment horizontal="center" vertical="center" shrinkToFit="1"/>
    </xf>
    <xf numFmtId="0" fontId="8" fillId="5" borderId="2" xfId="0" applyFont="1" applyFill="1" applyBorder="1" applyAlignment="1">
      <alignment horizontal="left" vertical="center"/>
    </xf>
    <xf numFmtId="0" fontId="8" fillId="3" borderId="6" xfId="0" applyFont="1" applyFill="1" applyBorder="1">
      <alignment vertical="center"/>
    </xf>
    <xf numFmtId="0" fontId="37" fillId="0" borderId="0" xfId="0" applyFont="1" applyAlignment="1">
      <alignment horizontal="right" vertical="center"/>
    </xf>
    <xf numFmtId="188" fontId="0" fillId="0" borderId="1" xfId="0" applyNumberFormat="1" applyBorder="1" applyAlignment="1">
      <alignment horizontal="center" vertical="center"/>
    </xf>
    <xf numFmtId="0" fontId="0" fillId="0" borderId="1" xfId="0" applyBorder="1" applyAlignment="1">
      <alignment horizontal="center" vertical="center" shrinkToFit="1"/>
    </xf>
    <xf numFmtId="10" fontId="0" fillId="0" borderId="1" xfId="0" applyNumberFormat="1" applyBorder="1" applyAlignment="1">
      <alignment horizontal="center" vertical="center"/>
    </xf>
    <xf numFmtId="182" fontId="0" fillId="0" borderId="1" xfId="0" applyNumberFormat="1" applyBorder="1" applyAlignment="1">
      <alignment horizontal="left" vertical="center"/>
    </xf>
    <xf numFmtId="0" fontId="42" fillId="0" borderId="0" xfId="8" applyFont="1">
      <alignment vertical="center"/>
    </xf>
    <xf numFmtId="0" fontId="41" fillId="0" borderId="0" xfId="8" applyAlignment="1">
      <alignment horizontal="center" vertical="center"/>
    </xf>
    <xf numFmtId="0" fontId="41" fillId="0" borderId="0" xfId="8">
      <alignment vertical="center"/>
    </xf>
    <xf numFmtId="0" fontId="41" fillId="0" borderId="1" xfId="8" applyBorder="1" applyAlignment="1">
      <alignment horizontal="center" vertical="center"/>
    </xf>
    <xf numFmtId="3" fontId="41" fillId="0" borderId="1" xfId="8" applyNumberFormat="1" applyBorder="1" applyAlignment="1">
      <alignment horizontal="center" vertical="center"/>
    </xf>
    <xf numFmtId="0" fontId="41" fillId="0" borderId="0" xfId="8" applyAlignment="1">
      <alignment horizontal="left" vertical="center" shrinkToFit="1"/>
    </xf>
    <xf numFmtId="0" fontId="41" fillId="0" borderId="1" xfId="8" applyBorder="1" applyAlignment="1">
      <alignment horizontal="center" vertical="center" shrinkToFit="1"/>
    </xf>
    <xf numFmtId="0" fontId="41" fillId="0" borderId="0" xfId="8" applyAlignment="1">
      <alignment horizontal="center" vertical="center" shrinkToFit="1"/>
    </xf>
    <xf numFmtId="0" fontId="45" fillId="0" borderId="0" xfId="8" applyFont="1" applyAlignment="1">
      <alignment vertical="top" wrapText="1"/>
    </xf>
    <xf numFmtId="0" fontId="41" fillId="0" borderId="0" xfId="8" applyAlignment="1">
      <alignment horizontal="center" vertical="center" textRotation="255"/>
    </xf>
    <xf numFmtId="0" fontId="41" fillId="0" borderId="0" xfId="8" applyAlignment="1">
      <alignment horizontal="center" vertical="center" wrapText="1"/>
    </xf>
    <xf numFmtId="3" fontId="41" fillId="0" borderId="0" xfId="8" applyNumberFormat="1">
      <alignment vertical="center"/>
    </xf>
    <xf numFmtId="0" fontId="41" fillId="0" borderId="6" xfId="8" applyBorder="1" applyAlignment="1">
      <alignment horizontal="center" vertical="center"/>
    </xf>
    <xf numFmtId="0" fontId="49" fillId="0" borderId="1" xfId="8" applyFont="1" applyBorder="1" applyAlignment="1">
      <alignment horizontal="center" vertical="center" wrapText="1"/>
    </xf>
    <xf numFmtId="189" fontId="41" fillId="0" borderId="1" xfId="8" applyNumberFormat="1" applyBorder="1">
      <alignment vertical="center"/>
    </xf>
    <xf numFmtId="176" fontId="41" fillId="0" borderId="1" xfId="8" applyNumberFormat="1" applyBorder="1">
      <alignment vertical="center"/>
    </xf>
    <xf numFmtId="3" fontId="41" fillId="0" borderId="1" xfId="8" applyNumberFormat="1" applyBorder="1">
      <alignment vertical="center"/>
    </xf>
    <xf numFmtId="0" fontId="41" fillId="0" borderId="1" xfId="8" applyBorder="1">
      <alignment vertical="center"/>
    </xf>
    <xf numFmtId="0" fontId="41" fillId="0" borderId="1" xfId="8" applyBorder="1" applyAlignment="1">
      <alignment horizontal="center" vertical="center" wrapText="1"/>
    </xf>
    <xf numFmtId="1" fontId="41" fillId="0" borderId="1" xfId="8" applyNumberFormat="1" applyBorder="1">
      <alignment vertical="center"/>
    </xf>
    <xf numFmtId="0" fontId="0" fillId="5" borderId="6" xfId="0" applyFill="1" applyBorder="1" applyAlignment="1">
      <alignment horizontal="center" vertical="center"/>
    </xf>
    <xf numFmtId="0" fontId="0" fillId="5" borderId="2" xfId="0" applyFill="1" applyBorder="1" applyAlignment="1">
      <alignment horizontal="center" vertical="center"/>
    </xf>
    <xf numFmtId="0" fontId="5" fillId="5" borderId="1" xfId="0" applyFont="1" applyFill="1" applyBorder="1" applyAlignment="1">
      <alignment horizontal="center" vertical="center"/>
    </xf>
    <xf numFmtId="0" fontId="0" fillId="5" borderId="6" xfId="0" applyFill="1" applyBorder="1" applyAlignment="1">
      <alignment horizontal="left" vertical="center"/>
    </xf>
    <xf numFmtId="0" fontId="8" fillId="5" borderId="2" xfId="0" applyFont="1" applyFill="1" applyBorder="1" applyAlignment="1">
      <alignment horizontal="center" vertical="center"/>
    </xf>
    <xf numFmtId="38" fontId="4" fillId="0" borderId="1" xfId="1" applyFont="1" applyBorder="1" applyAlignment="1">
      <alignment horizontal="center" vertical="center"/>
    </xf>
    <xf numFmtId="0" fontId="4" fillId="0" borderId="1" xfId="0" applyFont="1" applyBorder="1" applyAlignment="1">
      <alignment horizontal="center" vertical="center" wrapText="1"/>
    </xf>
    <xf numFmtId="176" fontId="4" fillId="7" borderId="1" xfId="0" applyNumberFormat="1" applyFont="1" applyFill="1" applyBorder="1" applyAlignment="1">
      <alignment horizontal="center" vertical="center" wrapText="1"/>
    </xf>
    <xf numFmtId="0" fontId="4" fillId="7" borderId="1" xfId="0" applyFont="1" applyFill="1" applyBorder="1" applyAlignment="1">
      <alignment horizontal="left" vertical="center"/>
    </xf>
    <xf numFmtId="0" fontId="53" fillId="0" borderId="0" xfId="8" applyFont="1">
      <alignment vertical="center"/>
    </xf>
    <xf numFmtId="0" fontId="41" fillId="5" borderId="1" xfId="8" applyFill="1" applyBorder="1" applyAlignment="1">
      <alignment horizontal="center" vertical="center"/>
    </xf>
    <xf numFmtId="3" fontId="41" fillId="5" borderId="1" xfId="8" applyNumberFormat="1" applyFill="1" applyBorder="1" applyAlignment="1">
      <alignment horizontal="center" vertical="center"/>
    </xf>
    <xf numFmtId="0" fontId="41" fillId="5" borderId="1" xfId="8" applyFill="1" applyBorder="1" applyAlignment="1">
      <alignment horizontal="center" vertical="center" shrinkToFit="1"/>
    </xf>
    <xf numFmtId="0" fontId="41" fillId="5" borderId="7" xfId="8" applyFill="1" applyBorder="1" applyAlignment="1">
      <alignment horizontal="center" vertical="center"/>
    </xf>
    <xf numFmtId="0" fontId="41" fillId="5" borderId="6" xfId="8" applyFill="1" applyBorder="1">
      <alignment vertical="center"/>
    </xf>
    <xf numFmtId="0" fontId="41" fillId="5" borderId="7" xfId="8" applyFill="1" applyBorder="1">
      <alignment vertical="center"/>
    </xf>
    <xf numFmtId="0" fontId="41" fillId="5" borderId="2" xfId="8" applyFill="1" applyBorder="1">
      <alignment vertical="center"/>
    </xf>
    <xf numFmtId="0" fontId="11" fillId="0" borderId="0" xfId="2">
      <alignment vertical="center"/>
    </xf>
    <xf numFmtId="0" fontId="8" fillId="5" borderId="1" xfId="0" applyFont="1" applyFill="1" applyBorder="1" applyAlignment="1">
      <alignment horizontal="left" vertical="center"/>
    </xf>
    <xf numFmtId="0" fontId="8" fillId="5" borderId="3" xfId="0" applyFont="1" applyFill="1" applyBorder="1" applyAlignment="1">
      <alignment horizontal="left" vertical="center"/>
    </xf>
    <xf numFmtId="0" fontId="8" fillId="5" borderId="3" xfId="0" applyFont="1" applyFill="1" applyBorder="1" applyAlignment="1">
      <alignment horizontal="center" vertical="center"/>
    </xf>
    <xf numFmtId="0" fontId="8" fillId="5" borderId="4" xfId="0" applyFont="1" applyFill="1" applyBorder="1" applyAlignment="1">
      <alignment horizontal="left" vertical="center"/>
    </xf>
    <xf numFmtId="0" fontId="8" fillId="5" borderId="4" xfId="0" applyFont="1" applyFill="1" applyBorder="1" applyAlignment="1">
      <alignment horizontal="center" vertical="center"/>
    </xf>
    <xf numFmtId="0" fontId="0" fillId="5" borderId="1" xfId="0" applyFill="1" applyBorder="1" applyAlignment="1">
      <alignment horizontal="center" vertical="center" shrinkToFit="1"/>
    </xf>
    <xf numFmtId="0" fontId="8" fillId="5" borderId="1" xfId="0" applyFont="1" applyFill="1" applyBorder="1" applyAlignment="1">
      <alignment horizontal="center" vertical="center" wrapText="1"/>
    </xf>
    <xf numFmtId="0" fontId="8" fillId="5" borderId="1" xfId="0" applyFont="1" applyFill="1" applyBorder="1">
      <alignment vertical="center"/>
    </xf>
    <xf numFmtId="0" fontId="0" fillId="5" borderId="31" xfId="0" applyFill="1" applyBorder="1" applyAlignment="1">
      <alignment horizontal="center" vertical="center"/>
    </xf>
    <xf numFmtId="177" fontId="8" fillId="5" borderId="1" xfId="0" applyNumberFormat="1" applyFont="1" applyFill="1" applyBorder="1">
      <alignment vertical="center"/>
    </xf>
    <xf numFmtId="179" fontId="8" fillId="5" borderId="1" xfId="0" applyNumberFormat="1" applyFont="1" applyFill="1" applyBorder="1">
      <alignment vertical="center"/>
    </xf>
    <xf numFmtId="177" fontId="8" fillId="3" borderId="6" xfId="0" applyNumberFormat="1" applyFont="1" applyFill="1" applyBorder="1" applyAlignment="1">
      <alignment horizontal="center" vertical="center"/>
    </xf>
    <xf numFmtId="179" fontId="8" fillId="3" borderId="6" xfId="0" applyNumberFormat="1" applyFont="1" applyFill="1" applyBorder="1" applyAlignment="1">
      <alignment horizontal="center" vertical="center"/>
    </xf>
    <xf numFmtId="0" fontId="0" fillId="3" borderId="1" xfId="0" applyFill="1" applyBorder="1" applyAlignment="1">
      <alignment horizontal="center" vertical="center"/>
    </xf>
    <xf numFmtId="177" fontId="0" fillId="3" borderId="31" xfId="0" applyNumberFormat="1" applyFill="1" applyBorder="1" applyAlignment="1">
      <alignment horizontal="center" vertical="center"/>
    </xf>
    <xf numFmtId="177" fontId="0" fillId="3" borderId="25" xfId="0" applyNumberFormat="1" applyFill="1" applyBorder="1" applyAlignment="1">
      <alignment horizontal="center" vertical="center"/>
    </xf>
    <xf numFmtId="177" fontId="8" fillId="3" borderId="3" xfId="0" applyNumberFormat="1" applyFont="1" applyFill="1" applyBorder="1" applyAlignment="1">
      <alignment horizontal="center" vertical="center"/>
    </xf>
    <xf numFmtId="185" fontId="8" fillId="3" borderId="1" xfId="0" applyNumberFormat="1" applyFont="1" applyFill="1" applyBorder="1" applyAlignment="1">
      <alignment horizontal="center" vertical="center"/>
    </xf>
    <xf numFmtId="183" fontId="8" fillId="3" borderId="4" xfId="0" applyNumberFormat="1" applyFont="1" applyFill="1" applyBorder="1" applyAlignment="1">
      <alignment horizontal="center" vertical="center"/>
    </xf>
    <xf numFmtId="9" fontId="8" fillId="3" borderId="6" xfId="0" applyNumberFormat="1" applyFont="1" applyFill="1" applyBorder="1" applyAlignment="1">
      <alignment horizontal="center" vertical="center"/>
    </xf>
    <xf numFmtId="177" fontId="8" fillId="3" borderId="31" xfId="0" applyNumberFormat="1" applyFont="1"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0" fillId="5" borderId="3" xfId="0" applyFill="1" applyBorder="1" applyAlignment="1">
      <alignment horizontal="center" vertical="center" shrinkToFit="1"/>
    </xf>
    <xf numFmtId="0" fontId="0" fillId="5" borderId="4" xfId="0" applyFill="1" applyBorder="1" applyAlignment="1">
      <alignment vertical="center" wrapText="1"/>
    </xf>
    <xf numFmtId="0" fontId="0" fillId="5" borderId="26" xfId="0" applyFill="1" applyBorder="1" applyAlignment="1">
      <alignment vertical="center" wrapText="1"/>
    </xf>
    <xf numFmtId="0" fontId="8" fillId="5" borderId="1" xfId="0" applyFont="1" applyFill="1" applyBorder="1" applyAlignment="1">
      <alignment vertical="center" wrapText="1"/>
    </xf>
    <xf numFmtId="0" fontId="8" fillId="5" borderId="4" xfId="0" applyFont="1" applyFill="1" applyBorder="1" applyAlignment="1">
      <alignment vertical="center" wrapText="1"/>
    </xf>
    <xf numFmtId="0" fontId="8" fillId="5" borderId="26" xfId="0" quotePrefix="1" applyFont="1" applyFill="1" applyBorder="1" applyAlignment="1">
      <alignment vertical="center" wrapText="1"/>
    </xf>
    <xf numFmtId="0" fontId="8" fillId="5" borderId="4" xfId="0" quotePrefix="1" applyFont="1" applyFill="1" applyBorder="1" applyAlignment="1">
      <alignment vertical="center" wrapText="1"/>
    </xf>
    <xf numFmtId="0" fontId="8" fillId="5" borderId="27" xfId="0" applyFont="1" applyFill="1" applyBorder="1" applyAlignment="1">
      <alignment horizontal="left" vertical="center"/>
    </xf>
    <xf numFmtId="0" fontId="8" fillId="5" borderId="25" xfId="0" applyFont="1" applyFill="1" applyBorder="1" applyAlignment="1">
      <alignment horizontal="left" vertical="center"/>
    </xf>
    <xf numFmtId="0" fontId="0" fillId="5" borderId="26" xfId="0" applyFill="1" applyBorder="1" applyAlignment="1">
      <alignment horizontal="center" vertical="center"/>
    </xf>
    <xf numFmtId="0" fontId="8" fillId="5" borderId="6" xfId="0" applyFont="1" applyFill="1" applyBorder="1" applyAlignment="1">
      <alignment horizontal="left" vertical="center"/>
    </xf>
    <xf numFmtId="0" fontId="8" fillId="5" borderId="29" xfId="0" applyFont="1" applyFill="1" applyBorder="1" applyAlignment="1">
      <alignment horizontal="center" vertical="center"/>
    </xf>
    <xf numFmtId="0" fontId="0" fillId="5" borderId="3" xfId="0" applyFill="1" applyBorder="1" applyAlignment="1">
      <alignment horizontal="left" vertical="center"/>
    </xf>
    <xf numFmtId="0" fontId="8" fillId="5" borderId="31" xfId="0" applyFont="1" applyFill="1" applyBorder="1" applyAlignment="1">
      <alignment horizontal="left" vertical="center"/>
    </xf>
    <xf numFmtId="0" fontId="0" fillId="5" borderId="31" xfId="0" applyFill="1" applyBorder="1" applyAlignment="1">
      <alignment horizontal="center" vertical="center" wrapText="1"/>
    </xf>
    <xf numFmtId="0" fontId="0" fillId="5" borderId="5" xfId="0" applyFill="1" applyBorder="1" applyAlignment="1">
      <alignment horizontal="center" vertical="center" wrapText="1"/>
    </xf>
    <xf numFmtId="0" fontId="8" fillId="5" borderId="26" xfId="0" applyFont="1" applyFill="1" applyBorder="1">
      <alignment vertical="center"/>
    </xf>
    <xf numFmtId="0" fontId="8" fillId="5" borderId="4" xfId="0" applyFont="1" applyFill="1" applyBorder="1">
      <alignment vertical="center"/>
    </xf>
    <xf numFmtId="0" fontId="8" fillId="5" borderId="3" xfId="0" applyFont="1" applyFill="1" applyBorder="1">
      <alignment vertical="center"/>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0" fillId="5" borderId="27" xfId="0" applyFill="1" applyBorder="1" applyAlignment="1">
      <alignment horizontal="left" vertical="center"/>
    </xf>
    <xf numFmtId="0" fontId="0" fillId="5" borderId="25" xfId="0" applyFill="1" applyBorder="1" applyAlignment="1">
      <alignment horizontal="left" vertical="center"/>
    </xf>
    <xf numFmtId="0" fontId="0" fillId="5" borderId="25" xfId="0" applyFill="1" applyBorder="1" applyAlignment="1">
      <alignment horizontal="left" vertical="center" wrapText="1"/>
    </xf>
    <xf numFmtId="0" fontId="5" fillId="5" borderId="5" xfId="0" applyFont="1" applyFill="1" applyBorder="1" applyAlignment="1">
      <alignment horizontal="center" vertical="center"/>
    </xf>
    <xf numFmtId="0" fontId="0" fillId="5" borderId="31" xfId="0" applyFill="1" applyBorder="1" applyAlignment="1">
      <alignment horizontal="left" vertical="center"/>
    </xf>
    <xf numFmtId="181" fontId="8" fillId="5" borderId="6" xfId="0" applyNumberFormat="1" applyFont="1" applyFill="1" applyBorder="1" applyAlignment="1">
      <alignment horizontal="center" vertical="center"/>
    </xf>
    <xf numFmtId="0" fontId="0" fillId="5" borderId="3" xfId="0" applyFill="1" applyBorder="1" applyAlignment="1">
      <alignment horizontal="center" vertical="center" wrapText="1"/>
    </xf>
    <xf numFmtId="0" fontId="8" fillId="5" borderId="30" xfId="0" applyFont="1" applyFill="1" applyBorder="1" applyAlignment="1">
      <alignment horizontal="center" vertical="center"/>
    </xf>
    <xf numFmtId="0" fontId="8" fillId="5" borderId="26" xfId="0" applyFont="1" applyFill="1" applyBorder="1" applyAlignment="1">
      <alignment horizontal="center" vertical="center"/>
    </xf>
    <xf numFmtId="0" fontId="25" fillId="5" borderId="1" xfId="0" applyFont="1" applyFill="1" applyBorder="1">
      <alignment vertical="center"/>
    </xf>
    <xf numFmtId="0" fontId="0" fillId="5" borderId="4" xfId="0" applyFill="1" applyBorder="1" applyAlignment="1">
      <alignment horizontal="center" vertical="center" wrapText="1"/>
    </xf>
    <xf numFmtId="0" fontId="16" fillId="5" borderId="1" xfId="0" applyFont="1" applyFill="1" applyBorder="1" applyAlignment="1">
      <alignment horizontal="center" vertical="center" wrapText="1"/>
    </xf>
    <xf numFmtId="0" fontId="8" fillId="5" borderId="29"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22" fillId="5" borderId="1" xfId="0" applyFont="1" applyFill="1" applyBorder="1" applyAlignment="1">
      <alignment horizontal="left" vertical="center"/>
    </xf>
    <xf numFmtId="0" fontId="22" fillId="5" borderId="3" xfId="0" applyFont="1" applyFill="1" applyBorder="1" applyAlignment="1">
      <alignment horizontal="left" vertical="center" wrapText="1"/>
    </xf>
    <xf numFmtId="0" fontId="22" fillId="5" borderId="1" xfId="0" applyFont="1" applyFill="1" applyBorder="1">
      <alignment vertical="center"/>
    </xf>
    <xf numFmtId="38" fontId="8" fillId="3" borderId="6" xfId="1" applyFont="1" applyFill="1" applyBorder="1" applyAlignment="1">
      <alignment horizontal="center" vertical="center"/>
    </xf>
    <xf numFmtId="179" fontId="13" fillId="3" borderId="6" xfId="3" applyNumberFormat="1" applyFont="1" applyFill="1" applyBorder="1" applyAlignment="1">
      <alignment horizontal="center" vertical="center"/>
    </xf>
    <xf numFmtId="38" fontId="8" fillId="3" borderId="3" xfId="1" applyFont="1" applyFill="1" applyBorder="1" applyAlignment="1">
      <alignment horizontal="center" vertical="center"/>
    </xf>
    <xf numFmtId="38" fontId="8" fillId="3" borderId="31" xfId="1" applyFont="1" applyFill="1" applyBorder="1" applyAlignment="1">
      <alignment horizontal="center" vertical="center"/>
    </xf>
    <xf numFmtId="0" fontId="28" fillId="3" borderId="1" xfId="4" applyFill="1" applyBorder="1" applyAlignment="1">
      <alignment horizontal="center" vertical="center"/>
    </xf>
    <xf numFmtId="0" fontId="5" fillId="5" borderId="1" xfId="0" applyFont="1" applyFill="1" applyBorder="1" applyAlignment="1">
      <alignment horizontal="center" vertical="center" wrapText="1"/>
    </xf>
    <xf numFmtId="0" fontId="13" fillId="9" borderId="0" xfId="0" applyFont="1" applyFill="1">
      <alignment vertical="center"/>
    </xf>
    <xf numFmtId="0" fontId="0" fillId="9" borderId="0" xfId="0" applyFill="1">
      <alignment vertical="center"/>
    </xf>
    <xf numFmtId="0" fontId="0" fillId="9" borderId="1" xfId="0" applyFill="1" applyBorder="1">
      <alignment vertical="center"/>
    </xf>
    <xf numFmtId="177" fontId="0" fillId="9" borderId="1" xfId="0" applyNumberFormat="1" applyFill="1" applyBorder="1">
      <alignment vertical="center"/>
    </xf>
    <xf numFmtId="2" fontId="6" fillId="3" borderId="1" xfId="0" applyNumberFormat="1" applyFont="1" applyFill="1" applyBorder="1">
      <alignment vertical="center"/>
    </xf>
    <xf numFmtId="0" fontId="6" fillId="5" borderId="1" xfId="0" applyFont="1" applyFill="1" applyBorder="1" applyAlignment="1">
      <alignment horizontal="center" vertical="center"/>
    </xf>
    <xf numFmtId="38" fontId="6" fillId="3" borderId="1" xfId="1" applyFont="1" applyFill="1" applyBorder="1">
      <alignment vertical="center"/>
    </xf>
    <xf numFmtId="2" fontId="5" fillId="3" borderId="1" xfId="0" applyNumberFormat="1" applyFont="1" applyFill="1" applyBorder="1" applyAlignment="1">
      <alignment horizontal="center" vertical="center"/>
    </xf>
    <xf numFmtId="2" fontId="0" fillId="3" borderId="1" xfId="0" applyNumberFormat="1" applyFill="1" applyBorder="1" applyAlignment="1">
      <alignment horizontal="center" vertical="center"/>
    </xf>
    <xf numFmtId="2" fontId="6" fillId="3" borderId="1" xfId="0" applyNumberFormat="1" applyFont="1" applyFill="1" applyBorder="1" applyAlignment="1">
      <alignment horizontal="center" vertical="center"/>
    </xf>
    <xf numFmtId="2" fontId="0" fillId="0" borderId="0" xfId="0" applyNumberFormat="1">
      <alignment vertical="center"/>
    </xf>
    <xf numFmtId="0" fontId="4" fillId="0" borderId="0" xfId="0" applyFont="1" applyAlignment="1">
      <alignment horizontal="center" vertical="center"/>
    </xf>
    <xf numFmtId="38" fontId="0" fillId="0" borderId="2" xfId="0" applyNumberFormat="1" applyBorder="1" applyAlignment="1">
      <alignment horizontal="center" vertical="center"/>
    </xf>
    <xf numFmtId="38" fontId="1" fillId="3" borderId="1" xfId="1" applyFont="1" applyFill="1" applyBorder="1">
      <alignment vertical="center"/>
    </xf>
    <xf numFmtId="0" fontId="0" fillId="4" borderId="1" xfId="0" applyFill="1" applyBorder="1" applyAlignment="1">
      <alignment horizontal="right" vertical="center" wrapText="1"/>
    </xf>
    <xf numFmtId="0" fontId="0" fillId="4" borderId="1" xfId="0" applyFill="1" applyBorder="1" applyAlignment="1">
      <alignment horizontal="right" vertical="center"/>
    </xf>
    <xf numFmtId="38" fontId="0" fillId="3" borderId="1" xfId="1" applyFont="1" applyFill="1" applyBorder="1" applyAlignment="1">
      <alignment vertical="center"/>
    </xf>
    <xf numFmtId="40" fontId="0" fillId="3" borderId="1" xfId="1" applyNumberFormat="1" applyFont="1" applyFill="1" applyBorder="1" applyAlignment="1">
      <alignment vertical="center"/>
    </xf>
    <xf numFmtId="0" fontId="5" fillId="5" borderId="26" xfId="0" applyFont="1" applyFill="1" applyBorder="1" applyAlignment="1">
      <alignment vertical="center" wrapText="1"/>
    </xf>
    <xf numFmtId="0" fontId="5" fillId="5" borderId="1" xfId="0" applyFont="1" applyFill="1" applyBorder="1" applyAlignment="1">
      <alignment vertical="center" wrapText="1"/>
    </xf>
    <xf numFmtId="0" fontId="0" fillId="0" borderId="1" xfId="0" applyBorder="1" applyAlignment="1"/>
    <xf numFmtId="0" fontId="5" fillId="0" borderId="1" xfId="0" applyFont="1" applyBorder="1" applyAlignment="1"/>
    <xf numFmtId="0" fontId="0" fillId="11" borderId="1" xfId="0" applyFill="1" applyBorder="1">
      <alignment vertical="center"/>
    </xf>
    <xf numFmtId="0" fontId="4" fillId="5" borderId="1" xfId="0" applyFont="1" applyFill="1" applyBorder="1" applyAlignment="1">
      <alignment vertical="center" wrapText="1"/>
    </xf>
    <xf numFmtId="0" fontId="13" fillId="5" borderId="1" xfId="0" applyFont="1" applyFill="1" applyBorder="1">
      <alignment vertical="center"/>
    </xf>
    <xf numFmtId="0" fontId="0" fillId="11" borderId="1" xfId="0" applyFill="1" applyBorder="1" applyAlignment="1">
      <alignment horizontal="center" vertical="center"/>
    </xf>
    <xf numFmtId="0" fontId="16" fillId="11" borderId="1" xfId="0" applyFont="1" applyFill="1" applyBorder="1" applyAlignment="1">
      <alignment horizontal="center" vertical="center"/>
    </xf>
    <xf numFmtId="0" fontId="8" fillId="11" borderId="1" xfId="0" applyFont="1" applyFill="1" applyBorder="1" applyAlignment="1">
      <alignment horizontal="center" vertical="center"/>
    </xf>
    <xf numFmtId="0" fontId="28" fillId="11" borderId="1" xfId="4" applyFill="1" applyBorder="1" applyAlignment="1">
      <alignment horizontal="center" vertical="center"/>
    </xf>
    <xf numFmtId="38" fontId="0" fillId="0" borderId="1" xfId="1" applyFont="1" applyBorder="1">
      <alignment vertical="center"/>
    </xf>
    <xf numFmtId="38" fontId="0" fillId="0" borderId="0" xfId="0" applyNumberFormat="1">
      <alignment vertical="center"/>
    </xf>
    <xf numFmtId="38" fontId="6" fillId="0" borderId="1" xfId="1" applyFont="1" applyBorder="1">
      <alignment vertical="center"/>
    </xf>
    <xf numFmtId="0" fontId="55" fillId="0" borderId="0" xfId="0" applyFont="1" applyAlignment="1">
      <alignment horizontal="left" vertical="center"/>
    </xf>
    <xf numFmtId="0" fontId="11" fillId="0" borderId="0" xfId="2" applyAlignment="1">
      <alignment horizontal="left" vertical="center"/>
    </xf>
    <xf numFmtId="0" fontId="56" fillId="0" borderId="0" xfId="0" applyFont="1" applyAlignment="1">
      <alignment horizontal="left" vertical="center"/>
    </xf>
    <xf numFmtId="0" fontId="57" fillId="0" borderId="0" xfId="0" applyFont="1" applyAlignment="1">
      <alignment horizontal="left" vertical="center"/>
    </xf>
    <xf numFmtId="0" fontId="54" fillId="0" borderId="0" xfId="0" applyFont="1" applyAlignment="1">
      <alignment horizontal="justify" vertical="center"/>
    </xf>
    <xf numFmtId="0" fontId="54" fillId="0" borderId="0" xfId="0" applyFont="1" applyAlignment="1">
      <alignment horizontal="left" vertical="center" indent="1"/>
    </xf>
    <xf numFmtId="0" fontId="57" fillId="0" borderId="0" xfId="0" applyFont="1" applyAlignment="1">
      <alignment horizontal="left" vertical="center" indent="1"/>
    </xf>
    <xf numFmtId="0" fontId="32" fillId="0" borderId="0" xfId="0" applyFont="1">
      <alignment vertical="center"/>
    </xf>
    <xf numFmtId="0" fontId="58" fillId="0" borderId="0" xfId="2" applyFont="1" applyAlignment="1">
      <alignment horizontal="left" vertical="center"/>
    </xf>
    <xf numFmtId="0" fontId="4" fillId="0" borderId="1" xfId="0" applyFont="1" applyBorder="1" applyAlignment="1">
      <alignment horizontal="center" vertical="center"/>
    </xf>
    <xf numFmtId="0" fontId="17" fillId="5" borderId="2" xfId="0" applyFont="1" applyFill="1" applyBorder="1" applyAlignment="1">
      <alignment horizontal="center" vertical="center" wrapText="1"/>
    </xf>
    <xf numFmtId="0" fontId="14" fillId="5" borderId="3" xfId="0" applyFont="1" applyFill="1" applyBorder="1" applyAlignment="1">
      <alignment horizontal="left" vertical="center"/>
    </xf>
    <xf numFmtId="0" fontId="14" fillId="5" borderId="3" xfId="0" applyFont="1" applyFill="1" applyBorder="1">
      <alignment vertical="center"/>
    </xf>
    <xf numFmtId="0" fontId="17" fillId="5" borderId="3" xfId="0" applyFont="1" applyFill="1" applyBorder="1" applyAlignment="1">
      <alignment horizontal="center" vertical="center" wrapText="1"/>
    </xf>
    <xf numFmtId="38" fontId="17" fillId="3" borderId="6" xfId="1" applyFont="1" applyFill="1" applyBorder="1" applyAlignment="1">
      <alignment horizontal="center" vertical="center"/>
    </xf>
    <xf numFmtId="0" fontId="17" fillId="5" borderId="3" xfId="0" applyFont="1" applyFill="1" applyBorder="1">
      <alignment vertical="center"/>
    </xf>
    <xf numFmtId="0" fontId="17" fillId="5" borderId="4" xfId="0" applyFont="1" applyFill="1" applyBorder="1" applyAlignment="1">
      <alignment horizontal="left" vertical="center"/>
    </xf>
    <xf numFmtId="0" fontId="17" fillId="5" borderId="1" xfId="0" applyFont="1" applyFill="1" applyBorder="1" applyAlignment="1">
      <alignment horizontal="center" vertical="center" wrapText="1"/>
    </xf>
    <xf numFmtId="0" fontId="17" fillId="5" borderId="4" xfId="0" applyFont="1" applyFill="1" applyBorder="1" applyAlignment="1">
      <alignment horizontal="center" vertical="center" wrapText="1"/>
    </xf>
    <xf numFmtId="177" fontId="17" fillId="3" borderId="31" xfId="0" applyNumberFormat="1" applyFont="1" applyFill="1" applyBorder="1" applyAlignment="1">
      <alignment horizontal="center" vertical="center"/>
    </xf>
    <xf numFmtId="177" fontId="14" fillId="3" borderId="6" xfId="0" applyNumberFormat="1" applyFont="1" applyFill="1" applyBorder="1" applyAlignment="1">
      <alignment horizontal="center" vertical="center"/>
    </xf>
    <xf numFmtId="177" fontId="17" fillId="3" borderId="6" xfId="0" applyNumberFormat="1" applyFont="1" applyFill="1" applyBorder="1" applyAlignment="1">
      <alignment horizontal="center" vertical="center"/>
    </xf>
    <xf numFmtId="0" fontId="17" fillId="5" borderId="1" xfId="0" applyFont="1" applyFill="1" applyBorder="1" applyAlignment="1">
      <alignment horizontal="left" vertical="center"/>
    </xf>
    <xf numFmtId="177" fontId="17" fillId="3" borderId="27" xfId="0" applyNumberFormat="1" applyFont="1" applyFill="1" applyBorder="1" applyAlignment="1">
      <alignment horizontal="center" vertical="center"/>
    </xf>
    <xf numFmtId="0" fontId="13" fillId="7" borderId="1" xfId="0" applyFont="1" applyFill="1" applyBorder="1" applyAlignment="1">
      <alignment horizontal="center" vertical="center"/>
    </xf>
    <xf numFmtId="38" fontId="0" fillId="9" borderId="1" xfId="1" applyFont="1" applyFill="1" applyBorder="1">
      <alignment vertical="center"/>
    </xf>
    <xf numFmtId="0" fontId="6" fillId="0" borderId="0" xfId="0" applyFont="1" applyAlignment="1">
      <alignment vertical="center" wrapText="1"/>
    </xf>
    <xf numFmtId="0" fontId="65" fillId="0" borderId="0" xfId="0" applyFont="1" applyAlignment="1">
      <alignment vertical="top" wrapText="1"/>
    </xf>
    <xf numFmtId="0" fontId="0" fillId="0" borderId="0" xfId="0" applyAlignment="1">
      <alignment vertical="top" wrapText="1"/>
    </xf>
    <xf numFmtId="0" fontId="0" fillId="0" borderId="35" xfId="0" applyBorder="1" applyAlignment="1">
      <alignment vertical="top" wrapText="1"/>
    </xf>
    <xf numFmtId="0" fontId="0" fillId="0" borderId="36" xfId="0" applyBorder="1" applyAlignment="1">
      <alignment vertical="top" wrapText="1"/>
    </xf>
    <xf numFmtId="0" fontId="65" fillId="0" borderId="0" xfId="0" applyFont="1" applyAlignment="1">
      <alignment horizontal="center" vertical="top" wrapText="1"/>
    </xf>
    <xf numFmtId="0" fontId="0" fillId="0" borderId="0" xfId="0" applyAlignment="1">
      <alignment horizontal="center" vertical="top" wrapText="1"/>
    </xf>
    <xf numFmtId="0" fontId="0" fillId="0" borderId="36" xfId="0" applyBorder="1" applyAlignment="1">
      <alignment horizontal="center" vertical="top" wrapText="1"/>
    </xf>
    <xf numFmtId="0" fontId="0" fillId="0" borderId="37" xfId="0" applyBorder="1" applyAlignment="1">
      <alignment horizontal="center" vertical="top" wrapText="1"/>
    </xf>
    <xf numFmtId="38" fontId="0" fillId="4" borderId="1" xfId="1" applyFont="1" applyFill="1" applyBorder="1">
      <alignment vertical="center"/>
    </xf>
    <xf numFmtId="0" fontId="8" fillId="5" borderId="26" xfId="0" applyFont="1" applyFill="1" applyBorder="1" applyAlignment="1">
      <alignment horizontal="center" vertical="center" wrapText="1"/>
    </xf>
    <xf numFmtId="0" fontId="0" fillId="5" borderId="29" xfId="0" applyFill="1" applyBorder="1" applyAlignment="1">
      <alignment horizontal="center" vertical="center"/>
    </xf>
    <xf numFmtId="0" fontId="0" fillId="5" borderId="27" xfId="0" applyFill="1" applyBorder="1" applyAlignment="1">
      <alignment horizontal="center" vertical="center"/>
    </xf>
    <xf numFmtId="0" fontId="0" fillId="5" borderId="5" xfId="0" applyFill="1" applyBorder="1" applyAlignment="1">
      <alignment horizontal="center" vertical="center"/>
    </xf>
    <xf numFmtId="178" fontId="8" fillId="3" borderId="3" xfId="0" applyNumberFormat="1" applyFont="1" applyFill="1" applyBorder="1" applyAlignment="1">
      <alignment horizontal="center" vertical="center"/>
    </xf>
    <xf numFmtId="178" fontId="8" fillId="3" borderId="4" xfId="0" applyNumberFormat="1" applyFont="1" applyFill="1" applyBorder="1" applyAlignment="1">
      <alignment horizontal="center" vertical="center"/>
    </xf>
    <xf numFmtId="0" fontId="8" fillId="0" borderId="28" xfId="0" applyFont="1" applyBorder="1">
      <alignment vertical="center"/>
    </xf>
    <xf numFmtId="0" fontId="16" fillId="0" borderId="28" xfId="0" applyFont="1" applyBorder="1" applyAlignment="1">
      <alignment horizontal="center" vertical="center"/>
    </xf>
    <xf numFmtId="183" fontId="0" fillId="0" borderId="28" xfId="0" applyNumberFormat="1" applyBorder="1" applyAlignment="1">
      <alignment horizontal="center" vertical="center"/>
    </xf>
    <xf numFmtId="183" fontId="8" fillId="0" borderId="0" xfId="0" applyNumberFormat="1" applyFont="1" applyAlignment="1">
      <alignment horizontal="center" vertical="center"/>
    </xf>
    <xf numFmtId="0" fontId="16" fillId="0" borderId="0" xfId="0" applyFont="1" applyAlignment="1">
      <alignment horizontal="center" vertical="center" shrinkToFit="1"/>
    </xf>
    <xf numFmtId="177" fontId="8" fillId="0" borderId="0" xfId="0" applyNumberFormat="1" applyFont="1" applyAlignment="1">
      <alignment horizontal="center" vertical="center"/>
    </xf>
    <xf numFmtId="177" fontId="0" fillId="0" borderId="8" xfId="0" applyNumberFormat="1" applyBorder="1" applyAlignment="1">
      <alignment horizontal="center" vertical="center"/>
    </xf>
    <xf numFmtId="0" fontId="5" fillId="5" borderId="30" xfId="0" applyFont="1" applyFill="1" applyBorder="1" applyAlignment="1">
      <alignment horizontal="left" vertical="center"/>
    </xf>
    <xf numFmtId="177" fontId="8" fillId="3" borderId="25" xfId="0" applyNumberFormat="1" applyFont="1" applyFill="1" applyBorder="1" applyAlignment="1">
      <alignment horizontal="center" vertical="center"/>
    </xf>
    <xf numFmtId="38" fontId="16" fillId="5" borderId="1" xfId="1" applyFont="1" applyFill="1" applyBorder="1" applyAlignment="1">
      <alignment horizontal="center" vertical="center"/>
    </xf>
    <xf numFmtId="0" fontId="66" fillId="0" borderId="0" xfId="0" applyFont="1">
      <alignment vertical="center"/>
    </xf>
    <xf numFmtId="0" fontId="4" fillId="0" borderId="6" xfId="0" applyFont="1" applyBorder="1" applyAlignment="1">
      <alignment horizontal="center" vertical="center"/>
    </xf>
    <xf numFmtId="0" fontId="4" fillId="0" borderId="2" xfId="0" applyFont="1" applyBorder="1" applyAlignment="1">
      <alignment horizontal="center" vertical="center"/>
    </xf>
    <xf numFmtId="0" fontId="64" fillId="12" borderId="32" xfId="0" applyFont="1" applyFill="1" applyBorder="1" applyAlignment="1">
      <alignment horizontal="left" vertical="center" wrapText="1"/>
    </xf>
    <xf numFmtId="0" fontId="64" fillId="12" borderId="33" xfId="0" applyFont="1" applyFill="1" applyBorder="1" applyAlignment="1">
      <alignment horizontal="left" vertical="center" wrapText="1"/>
    </xf>
    <xf numFmtId="0" fontId="64" fillId="12" borderId="34" xfId="0" applyFont="1" applyFill="1" applyBorder="1" applyAlignment="1">
      <alignment horizontal="left" vertical="center" wrapText="1"/>
    </xf>
    <xf numFmtId="0" fontId="4" fillId="5" borderId="1" xfId="0" applyFont="1" applyFill="1" applyBorder="1" applyAlignment="1">
      <alignment horizontal="center" vertical="center"/>
    </xf>
    <xf numFmtId="38" fontId="0" fillId="3" borderId="1" xfId="1" applyFont="1" applyFill="1" applyBorder="1" applyAlignment="1">
      <alignment horizontal="center" vertical="center"/>
    </xf>
    <xf numFmtId="0" fontId="6" fillId="5" borderId="1" xfId="0" applyFont="1" applyFill="1" applyBorder="1" applyAlignment="1">
      <alignment horizontal="center" vertical="center"/>
    </xf>
    <xf numFmtId="0" fontId="0" fillId="5" borderId="6" xfId="0" applyFill="1" applyBorder="1" applyAlignment="1">
      <alignment horizontal="center" vertical="center" wrapText="1"/>
    </xf>
    <xf numFmtId="0" fontId="0" fillId="5" borderId="2" xfId="0" applyFill="1" applyBorder="1" applyAlignment="1">
      <alignment horizontal="center" vertical="center" wrapText="1"/>
    </xf>
    <xf numFmtId="2" fontId="0" fillId="3" borderId="1" xfId="0" applyNumberFormat="1" applyFill="1" applyBorder="1" applyAlignment="1">
      <alignment horizontal="center" vertical="center"/>
    </xf>
    <xf numFmtId="0" fontId="0" fillId="5" borderId="1" xfId="0" applyFill="1" applyBorder="1" applyAlignment="1">
      <alignment horizontal="right" vertical="center"/>
    </xf>
    <xf numFmtId="0" fontId="0" fillId="5" borderId="1" xfId="0" applyFill="1" applyBorder="1" applyAlignment="1">
      <alignment horizontal="center" vertical="center"/>
    </xf>
    <xf numFmtId="0" fontId="0" fillId="3" borderId="6" xfId="0" applyFill="1" applyBorder="1" applyAlignment="1">
      <alignment horizontal="center" vertical="center"/>
    </xf>
    <xf numFmtId="0" fontId="0" fillId="3" borderId="2" xfId="0" applyFill="1" applyBorder="1" applyAlignment="1">
      <alignment horizontal="center" vertical="center"/>
    </xf>
    <xf numFmtId="0" fontId="0" fillId="5" borderId="3" xfId="0" applyFill="1" applyBorder="1" applyAlignment="1">
      <alignment horizontal="center" vertical="center" wrapText="1"/>
    </xf>
    <xf numFmtId="0" fontId="0" fillId="5" borderId="26" xfId="0" applyFill="1" applyBorder="1" applyAlignment="1">
      <alignment horizontal="center" vertical="center" wrapText="1"/>
    </xf>
    <xf numFmtId="0" fontId="0" fillId="5" borderId="4" xfId="0" applyFill="1" applyBorder="1" applyAlignment="1">
      <alignment horizontal="center" vertical="center" wrapText="1"/>
    </xf>
    <xf numFmtId="0" fontId="0" fillId="5" borderId="1" xfId="0" applyFill="1" applyBorder="1" applyAlignment="1">
      <alignment horizontal="center" vertical="center" wrapText="1"/>
    </xf>
    <xf numFmtId="0" fontId="4" fillId="3" borderId="1" xfId="0"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xf>
    <xf numFmtId="0" fontId="0" fillId="0" borderId="3" xfId="0" applyBorder="1" applyAlignment="1">
      <alignment horizontal="center" vertical="center"/>
    </xf>
    <xf numFmtId="0" fontId="0" fillId="6" borderId="3" xfId="0" applyFill="1" applyBorder="1" applyAlignment="1">
      <alignment horizontal="center" vertical="center" wrapText="1"/>
    </xf>
    <xf numFmtId="0" fontId="0" fillId="6" borderId="4" xfId="0" applyFill="1" applyBorder="1" applyAlignment="1">
      <alignment horizontal="center" vertical="center"/>
    </xf>
    <xf numFmtId="0" fontId="0" fillId="0" borderId="1" xfId="0" applyBorder="1" applyAlignment="1">
      <alignment horizontal="center" vertical="center"/>
    </xf>
    <xf numFmtId="0" fontId="0" fillId="6" borderId="4" xfId="0" applyFill="1" applyBorder="1" applyAlignment="1">
      <alignment horizontal="center" vertical="center" wrapText="1"/>
    </xf>
    <xf numFmtId="0" fontId="4" fillId="0" borderId="1" xfId="0" applyFont="1" applyBorder="1" applyAlignment="1">
      <alignment horizontal="left" vertical="center"/>
    </xf>
    <xf numFmtId="176" fontId="0" fillId="0" borderId="1" xfId="0" applyNumberFormat="1"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0" fillId="0" borderId="1" xfId="0" applyBorder="1" applyAlignment="1">
      <alignment horizontal="center" vertical="center" wrapText="1"/>
    </xf>
    <xf numFmtId="176" fontId="6" fillId="0" borderId="1" xfId="0" applyNumberFormat="1" applyFont="1" applyBorder="1" applyAlignment="1">
      <alignment horizontal="center" vertical="center" wrapText="1"/>
    </xf>
    <xf numFmtId="0" fontId="0" fillId="9" borderId="1" xfId="0" applyFill="1" applyBorder="1" applyAlignment="1">
      <alignment horizontal="center" vertical="center"/>
    </xf>
    <xf numFmtId="0" fontId="0" fillId="5" borderId="6" xfId="0" applyFill="1" applyBorder="1" applyAlignment="1">
      <alignment horizontal="left" vertical="center"/>
    </xf>
    <xf numFmtId="0" fontId="0" fillId="5" borderId="2" xfId="0" applyFill="1" applyBorder="1" applyAlignment="1">
      <alignment horizontal="left" vertical="center"/>
    </xf>
    <xf numFmtId="0" fontId="6" fillId="0" borderId="0" xfId="0" applyFont="1" applyAlignment="1">
      <alignment horizontal="center" vertical="center"/>
    </xf>
    <xf numFmtId="3" fontId="0" fillId="0" borderId="9" xfId="0" applyNumberFormat="1" applyBorder="1" applyAlignment="1">
      <alignment horizontal="center" vertical="center"/>
    </xf>
    <xf numFmtId="3" fontId="0" fillId="0" borderId="12" xfId="0" applyNumberFormat="1"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3" fontId="0" fillId="0" borderId="14" xfId="0" applyNumberFormat="1" applyBorder="1" applyAlignment="1">
      <alignment horizontal="center" vertical="center"/>
    </xf>
    <xf numFmtId="0" fontId="6" fillId="0" borderId="24" xfId="0" applyFont="1" applyBorder="1" applyAlignment="1">
      <alignment horizontal="center" vertical="center"/>
    </xf>
    <xf numFmtId="0" fontId="0" fillId="5" borderId="6" xfId="0" applyFill="1" applyBorder="1" applyAlignment="1">
      <alignment horizontal="center" vertical="center"/>
    </xf>
    <xf numFmtId="0" fontId="0" fillId="5" borderId="2" xfId="0" applyFill="1" applyBorder="1" applyAlignment="1">
      <alignment horizontal="center" vertical="center"/>
    </xf>
    <xf numFmtId="0" fontId="6" fillId="0" borderId="8" xfId="0" applyFont="1" applyBorder="1" applyAlignment="1">
      <alignment horizontal="center" vertical="center"/>
    </xf>
    <xf numFmtId="0" fontId="16" fillId="5" borderId="27" xfId="0" applyFont="1" applyFill="1" applyBorder="1" applyAlignment="1">
      <alignment horizontal="center" vertical="center"/>
    </xf>
    <xf numFmtId="0" fontId="16" fillId="5" borderId="29" xfId="0" applyFont="1" applyFill="1" applyBorder="1" applyAlignment="1">
      <alignment horizontal="center" vertical="center"/>
    </xf>
    <xf numFmtId="0" fontId="16" fillId="5" borderId="25" xfId="0" applyFont="1" applyFill="1" applyBorder="1" applyAlignment="1">
      <alignment horizontal="center" vertical="center"/>
    </xf>
    <xf numFmtId="0" fontId="16" fillId="5" borderId="30" xfId="0" applyFont="1" applyFill="1" applyBorder="1" applyAlignment="1">
      <alignment horizontal="center" vertical="center"/>
    </xf>
    <xf numFmtId="0" fontId="8" fillId="5" borderId="27" xfId="0" applyFont="1" applyFill="1" applyBorder="1" applyAlignment="1">
      <alignment horizontal="center" vertical="center"/>
    </xf>
    <xf numFmtId="0" fontId="8" fillId="5" borderId="29" xfId="0" applyFont="1" applyFill="1" applyBorder="1" applyAlignment="1">
      <alignment horizontal="center" vertical="center"/>
    </xf>
    <xf numFmtId="0" fontId="8" fillId="5" borderId="25" xfId="0" applyFont="1" applyFill="1" applyBorder="1" applyAlignment="1">
      <alignment horizontal="center" vertical="center"/>
    </xf>
    <xf numFmtId="0" fontId="8" fillId="5" borderId="30" xfId="0" applyFont="1" applyFill="1" applyBorder="1" applyAlignment="1">
      <alignment horizontal="center" vertical="center"/>
    </xf>
    <xf numFmtId="0" fontId="8" fillId="5" borderId="31" xfId="0" applyFont="1" applyFill="1" applyBorder="1" applyAlignment="1">
      <alignment horizontal="center" vertical="center"/>
    </xf>
    <xf numFmtId="0" fontId="8" fillId="5" borderId="5" xfId="0" applyFont="1" applyFill="1" applyBorder="1" applyAlignment="1">
      <alignment horizontal="center" vertical="center"/>
    </xf>
    <xf numFmtId="0" fontId="0" fillId="5" borderId="27" xfId="0" applyFill="1" applyBorder="1" applyAlignment="1">
      <alignment horizontal="center" vertical="center" wrapText="1"/>
    </xf>
    <xf numFmtId="0" fontId="0" fillId="5" borderId="29" xfId="0" applyFill="1" applyBorder="1" applyAlignment="1">
      <alignment horizontal="center" vertical="center" wrapText="1"/>
    </xf>
    <xf numFmtId="0" fontId="0" fillId="5" borderId="25" xfId="0" applyFill="1" applyBorder="1" applyAlignment="1">
      <alignment horizontal="center" vertical="center" wrapText="1"/>
    </xf>
    <xf numFmtId="0" fontId="0" fillId="5" borderId="30" xfId="0" applyFill="1" applyBorder="1" applyAlignment="1">
      <alignment horizontal="center" vertical="center" wrapText="1"/>
    </xf>
    <xf numFmtId="0" fontId="0" fillId="5" borderId="31" xfId="0" applyFill="1" applyBorder="1" applyAlignment="1">
      <alignment horizontal="center" vertical="center" wrapText="1"/>
    </xf>
    <xf numFmtId="0" fontId="0" fillId="5" borderId="5" xfId="0" applyFill="1" applyBorder="1" applyAlignment="1">
      <alignment horizontal="center" vertical="center" wrapText="1"/>
    </xf>
    <xf numFmtId="38" fontId="8" fillId="3" borderId="3" xfId="1" applyFont="1" applyFill="1" applyBorder="1" applyAlignment="1">
      <alignment horizontal="center" vertical="center"/>
    </xf>
    <xf numFmtId="38" fontId="8" fillId="3" borderId="26" xfId="1" applyFont="1" applyFill="1" applyBorder="1" applyAlignment="1">
      <alignment horizontal="center" vertical="center"/>
    </xf>
    <xf numFmtId="38" fontId="8" fillId="3" borderId="4" xfId="1" applyFont="1" applyFill="1" applyBorder="1" applyAlignment="1">
      <alignment horizontal="center" vertical="center"/>
    </xf>
    <xf numFmtId="0" fontId="22" fillId="5" borderId="3" xfId="0" applyFont="1" applyFill="1" applyBorder="1">
      <alignment vertical="center"/>
    </xf>
    <xf numFmtId="0" fontId="22" fillId="5" borderId="26" xfId="0" applyFont="1" applyFill="1" applyBorder="1">
      <alignment vertical="center"/>
    </xf>
    <xf numFmtId="0" fontId="22" fillId="5" borderId="4" xfId="0" applyFont="1" applyFill="1" applyBorder="1">
      <alignment vertical="center"/>
    </xf>
    <xf numFmtId="0" fontId="8" fillId="5" borderId="3" xfId="0" applyFont="1" applyFill="1" applyBorder="1">
      <alignment vertical="center"/>
    </xf>
    <xf numFmtId="0" fontId="8" fillId="5" borderId="26" xfId="0" applyFont="1" applyFill="1" applyBorder="1">
      <alignment vertical="center"/>
    </xf>
    <xf numFmtId="0" fontId="8" fillId="5" borderId="4" xfId="0" applyFont="1" applyFill="1" applyBorder="1">
      <alignment vertical="center"/>
    </xf>
    <xf numFmtId="0" fontId="14" fillId="5" borderId="3" xfId="0" applyFont="1" applyFill="1" applyBorder="1">
      <alignment vertical="center"/>
    </xf>
    <xf numFmtId="0" fontId="14" fillId="5" borderId="4" xfId="0" applyFont="1" applyFill="1" applyBorder="1">
      <alignment vertical="center"/>
    </xf>
    <xf numFmtId="0" fontId="17" fillId="5" borderId="6" xfId="0" applyFont="1" applyFill="1" applyBorder="1" applyAlignment="1">
      <alignment horizontal="center" vertical="center"/>
    </xf>
    <xf numFmtId="0" fontId="17" fillId="5" borderId="2" xfId="0" applyFont="1" applyFill="1" applyBorder="1" applyAlignment="1">
      <alignment horizontal="center" vertical="center"/>
    </xf>
    <xf numFmtId="0" fontId="16" fillId="5" borderId="6" xfId="0" applyFont="1" applyFill="1" applyBorder="1" applyAlignment="1">
      <alignment horizontal="center" vertical="center"/>
    </xf>
    <xf numFmtId="0" fontId="16" fillId="5" borderId="2" xfId="0" applyFont="1" applyFill="1" applyBorder="1" applyAlignment="1">
      <alignment horizontal="center" vertical="center"/>
    </xf>
    <xf numFmtId="0" fontId="0" fillId="0" borderId="0" xfId="0" applyAlignment="1">
      <alignment horizontal="center" vertical="center"/>
    </xf>
    <xf numFmtId="0" fontId="8" fillId="5" borderId="6" xfId="0" applyFont="1" applyFill="1" applyBorder="1" applyAlignment="1">
      <alignment horizontal="center" vertical="center"/>
    </xf>
    <xf numFmtId="0" fontId="8" fillId="5" borderId="2" xfId="0" applyFont="1" applyFill="1" applyBorder="1" applyAlignment="1">
      <alignment horizontal="center" vertical="center"/>
    </xf>
    <xf numFmtId="0" fontId="0" fillId="0" borderId="0" xfId="0" applyAlignment="1">
      <alignment horizontal="center" vertical="center" wrapText="1"/>
    </xf>
    <xf numFmtId="0" fontId="0" fillId="0" borderId="3" xfId="0" applyBorder="1" applyAlignment="1">
      <alignment horizontal="left" vertical="center"/>
    </xf>
    <xf numFmtId="0" fontId="0" fillId="0" borderId="26" xfId="0" applyBorder="1" applyAlignment="1">
      <alignment horizontal="left" vertical="center"/>
    </xf>
    <xf numFmtId="0" fontId="0" fillId="0" borderId="4" xfId="0" applyBorder="1" applyAlignment="1">
      <alignment horizontal="left" vertical="center"/>
    </xf>
    <xf numFmtId="0" fontId="16" fillId="0" borderId="6" xfId="0" applyFont="1" applyBorder="1" applyAlignment="1">
      <alignment horizontal="center" vertical="center"/>
    </xf>
    <xf numFmtId="0" fontId="8" fillId="0" borderId="2" xfId="0" applyFont="1" applyBorder="1" applyAlignment="1">
      <alignment horizontal="center" vertical="center"/>
    </xf>
    <xf numFmtId="0" fontId="8" fillId="0" borderId="6" xfId="0" applyFont="1" applyBorder="1" applyAlignment="1">
      <alignment horizontal="center" vertical="center"/>
    </xf>
    <xf numFmtId="0" fontId="0" fillId="0" borderId="27" xfId="0" applyBorder="1" applyAlignment="1">
      <alignment horizontal="center" vertical="center"/>
    </xf>
    <xf numFmtId="0" fontId="0" fillId="0" borderId="29" xfId="0" applyBorder="1" applyAlignment="1">
      <alignment horizontal="center" vertical="center"/>
    </xf>
    <xf numFmtId="0" fontId="0" fillId="0" borderId="31" xfId="0" applyBorder="1" applyAlignment="1">
      <alignment horizontal="center" vertical="center"/>
    </xf>
    <xf numFmtId="0" fontId="0" fillId="0" borderId="5" xfId="0" applyBorder="1" applyAlignment="1">
      <alignment horizontal="center" vertical="center"/>
    </xf>
    <xf numFmtId="0" fontId="0" fillId="0" borderId="27" xfId="0" applyBorder="1" applyAlignment="1">
      <alignment horizontal="center" vertical="center" wrapText="1"/>
    </xf>
    <xf numFmtId="0" fontId="0" fillId="0" borderId="29" xfId="0" applyBorder="1" applyAlignment="1">
      <alignment horizontal="center" vertical="center" wrapText="1"/>
    </xf>
    <xf numFmtId="0" fontId="0" fillId="0" borderId="31" xfId="0" applyBorder="1" applyAlignment="1">
      <alignment horizontal="center" vertical="center" wrapText="1"/>
    </xf>
    <xf numFmtId="0" fontId="0" fillId="0" borderId="5" xfId="0" applyBorder="1" applyAlignment="1">
      <alignment horizontal="center" vertical="center" wrapText="1"/>
    </xf>
    <xf numFmtId="38" fontId="16" fillId="0" borderId="3" xfId="1" applyFont="1" applyFill="1" applyBorder="1" applyAlignment="1">
      <alignment horizontal="center" vertical="center"/>
    </xf>
    <xf numFmtId="38" fontId="16" fillId="0" borderId="4" xfId="1" applyFont="1" applyFill="1" applyBorder="1" applyAlignment="1">
      <alignment horizontal="center" vertical="center"/>
    </xf>
    <xf numFmtId="0" fontId="0" fillId="9" borderId="25" xfId="0" applyFill="1" applyBorder="1" applyAlignment="1">
      <alignment horizontal="center" vertical="center"/>
    </xf>
    <xf numFmtId="0" fontId="0" fillId="9" borderId="30" xfId="0" applyFill="1" applyBorder="1" applyAlignment="1">
      <alignment horizontal="center" vertical="center"/>
    </xf>
    <xf numFmtId="0" fontId="0" fillId="9" borderId="31" xfId="0" applyFill="1" applyBorder="1" applyAlignment="1">
      <alignment horizontal="center" vertical="center"/>
    </xf>
    <xf numFmtId="0" fontId="0" fillId="9" borderId="5" xfId="0" applyFill="1" applyBorder="1" applyAlignment="1">
      <alignment horizontal="center" vertical="center"/>
    </xf>
    <xf numFmtId="38" fontId="0" fillId="0" borderId="3" xfId="1" applyFont="1" applyFill="1" applyBorder="1" applyAlignment="1">
      <alignment horizontal="center" vertical="center"/>
    </xf>
    <xf numFmtId="38" fontId="0" fillId="0" borderId="4" xfId="1" applyFont="1" applyFill="1" applyBorder="1" applyAlignment="1">
      <alignment horizontal="center" vertical="center"/>
    </xf>
    <xf numFmtId="0" fontId="0" fillId="0" borderId="3" xfId="0" applyBorder="1" applyAlignment="1">
      <alignment horizontal="left" vertical="center" wrapText="1"/>
    </xf>
    <xf numFmtId="0" fontId="0" fillId="0" borderId="4" xfId="0" applyBorder="1" applyAlignment="1">
      <alignment horizontal="left" vertical="center" wrapText="1"/>
    </xf>
    <xf numFmtId="0" fontId="8" fillId="0" borderId="6" xfId="0" applyFont="1" applyBorder="1" applyAlignment="1">
      <alignment horizontal="center" vertical="center" wrapText="1"/>
    </xf>
    <xf numFmtId="0" fontId="8" fillId="0" borderId="2" xfId="0" applyFont="1" applyBorder="1" applyAlignment="1">
      <alignment horizontal="center" vertical="center" wrapText="1"/>
    </xf>
    <xf numFmtId="0" fontId="5" fillId="0" borderId="6" xfId="0" applyFont="1" applyBorder="1" applyAlignment="1">
      <alignment horizontal="center" vertical="center"/>
    </xf>
    <xf numFmtId="0" fontId="5" fillId="0" borderId="2" xfId="0" applyFont="1" applyBorder="1" applyAlignment="1">
      <alignment horizontal="center" vertical="center"/>
    </xf>
    <xf numFmtId="0" fontId="5" fillId="0" borderId="6" xfId="0" applyFont="1" applyBorder="1" applyAlignment="1">
      <alignment horizontal="center" vertical="center" wrapText="1"/>
    </xf>
    <xf numFmtId="0" fontId="5" fillId="0" borderId="2" xfId="0" applyFont="1" applyBorder="1" applyAlignment="1">
      <alignment horizontal="center" vertical="center" wrapText="1"/>
    </xf>
    <xf numFmtId="38" fontId="8" fillId="0" borderId="3" xfId="1" applyFont="1" applyFill="1" applyBorder="1" applyAlignment="1">
      <alignment horizontal="center" vertical="center"/>
    </xf>
    <xf numFmtId="38" fontId="8" fillId="0" borderId="4" xfId="1" applyFont="1" applyFill="1" applyBorder="1" applyAlignment="1">
      <alignment horizontal="center" vertical="center"/>
    </xf>
    <xf numFmtId="0" fontId="8" fillId="0" borderId="1" xfId="0" applyFont="1" applyBorder="1" applyAlignment="1">
      <alignment horizontal="center" vertical="center"/>
    </xf>
    <xf numFmtId="0" fontId="0" fillId="0" borderId="3" xfId="0" applyBorder="1" applyAlignment="1">
      <alignment horizontal="left" vertical="top"/>
    </xf>
    <xf numFmtId="0" fontId="0" fillId="0" borderId="4" xfId="0" applyBorder="1" applyAlignment="1">
      <alignment horizontal="left" vertical="top"/>
    </xf>
    <xf numFmtId="0" fontId="5" fillId="0" borderId="27"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5" xfId="0" applyFont="1" applyBorder="1" applyAlignment="1">
      <alignment horizontal="center" vertical="center" wrapText="1"/>
    </xf>
    <xf numFmtId="0" fontId="23" fillId="9" borderId="6" xfId="0" applyFont="1" applyFill="1" applyBorder="1" applyAlignment="1">
      <alignment horizontal="center" vertical="center"/>
    </xf>
    <xf numFmtId="0" fontId="24" fillId="9" borderId="7" xfId="0" applyFont="1" applyFill="1" applyBorder="1" applyAlignment="1">
      <alignment horizontal="center" vertical="center"/>
    </xf>
    <xf numFmtId="0" fontId="24" fillId="9" borderId="2" xfId="0" applyFont="1" applyFill="1" applyBorder="1" applyAlignment="1">
      <alignment horizontal="center" vertical="center"/>
    </xf>
    <xf numFmtId="0" fontId="16" fillId="5" borderId="27" xfId="0" applyFont="1" applyFill="1" applyBorder="1" applyAlignment="1">
      <alignment horizontal="left" vertical="center"/>
    </xf>
    <xf numFmtId="0" fontId="8" fillId="5" borderId="29" xfId="0" applyFont="1" applyFill="1" applyBorder="1" applyAlignment="1">
      <alignment horizontal="left" vertical="center"/>
    </xf>
    <xf numFmtId="0" fontId="16" fillId="5" borderId="25" xfId="0" applyFont="1" applyFill="1" applyBorder="1" applyAlignment="1">
      <alignment horizontal="left" vertical="center"/>
    </xf>
    <xf numFmtId="0" fontId="8" fillId="5" borderId="30" xfId="0" applyFont="1" applyFill="1" applyBorder="1" applyAlignment="1">
      <alignment horizontal="left" vertical="center"/>
    </xf>
    <xf numFmtId="0" fontId="8" fillId="5" borderId="0" xfId="0" applyFont="1" applyFill="1" applyAlignment="1">
      <alignment horizontal="left" vertical="center"/>
    </xf>
    <xf numFmtId="0" fontId="8" fillId="5" borderId="25" xfId="0" applyFont="1" applyFill="1" applyBorder="1" applyAlignment="1">
      <alignment horizontal="left" vertical="center"/>
    </xf>
    <xf numFmtId="0" fontId="8" fillId="5" borderId="31" xfId="0" applyFont="1" applyFill="1" applyBorder="1" applyAlignment="1">
      <alignment horizontal="left" vertical="center"/>
    </xf>
    <xf numFmtId="0" fontId="8" fillId="5" borderId="5" xfId="0" applyFont="1" applyFill="1" applyBorder="1" applyAlignment="1">
      <alignment horizontal="left" vertical="center"/>
    </xf>
    <xf numFmtId="0" fontId="8" fillId="5" borderId="27" xfId="0" applyFont="1" applyFill="1" applyBorder="1" applyAlignment="1">
      <alignment horizontal="left" vertical="center"/>
    </xf>
    <xf numFmtId="0" fontId="8" fillId="5" borderId="4" xfId="0" applyFont="1" applyFill="1" applyBorder="1" applyAlignment="1">
      <alignment horizontal="left" vertical="center"/>
    </xf>
    <xf numFmtId="0" fontId="8" fillId="5" borderId="28" xfId="0" applyFont="1" applyFill="1" applyBorder="1" applyAlignment="1">
      <alignment horizontal="center" vertical="center"/>
    </xf>
    <xf numFmtId="0" fontId="8" fillId="5" borderId="8" xfId="0" applyFont="1" applyFill="1" applyBorder="1" applyAlignment="1">
      <alignment horizontal="center" vertical="center"/>
    </xf>
    <xf numFmtId="0" fontId="8" fillId="5" borderId="3" xfId="0" applyFont="1" applyFill="1" applyBorder="1" applyAlignment="1">
      <alignment horizontal="center" vertical="center"/>
    </xf>
    <xf numFmtId="0" fontId="8" fillId="5" borderId="4" xfId="0" applyFont="1" applyFill="1" applyBorder="1" applyAlignment="1">
      <alignment horizontal="center" vertical="center"/>
    </xf>
    <xf numFmtId="0" fontId="0" fillId="11" borderId="3" xfId="0" applyFill="1" applyBorder="1" applyAlignment="1">
      <alignment horizontal="center" vertical="center"/>
    </xf>
    <xf numFmtId="0" fontId="0" fillId="11" borderId="4" xfId="0" applyFill="1" applyBorder="1" applyAlignment="1">
      <alignment horizontal="center" vertical="center"/>
    </xf>
    <xf numFmtId="0" fontId="25" fillId="5" borderId="3" xfId="0" applyFont="1" applyFill="1" applyBorder="1" applyAlignment="1">
      <alignment horizontal="center" vertical="center"/>
    </xf>
    <xf numFmtId="0" fontId="25" fillId="5" borderId="4" xfId="0" applyFont="1" applyFill="1" applyBorder="1" applyAlignment="1">
      <alignment horizontal="center" vertical="center"/>
    </xf>
    <xf numFmtId="0" fontId="0" fillId="3" borderId="29" xfId="0" applyFill="1" applyBorder="1" applyAlignment="1">
      <alignment horizontal="center" vertical="center"/>
    </xf>
    <xf numFmtId="0" fontId="0" fillId="3" borderId="5" xfId="0" applyFill="1" applyBorder="1" applyAlignment="1">
      <alignment horizontal="center" vertical="center"/>
    </xf>
    <xf numFmtId="0" fontId="5" fillId="5" borderId="6" xfId="0" applyFont="1" applyFill="1" applyBorder="1" applyAlignment="1">
      <alignment horizontal="center" vertical="center"/>
    </xf>
    <xf numFmtId="0" fontId="5" fillId="5" borderId="2" xfId="0" applyFont="1" applyFill="1" applyBorder="1" applyAlignment="1">
      <alignment horizontal="center" vertical="center"/>
    </xf>
    <xf numFmtId="0" fontId="26" fillId="5" borderId="6" xfId="0" applyFont="1" applyFill="1" applyBorder="1" applyAlignment="1">
      <alignment horizontal="center" vertical="center"/>
    </xf>
    <xf numFmtId="0" fontId="26" fillId="5" borderId="7" xfId="0" applyFont="1" applyFill="1" applyBorder="1" applyAlignment="1">
      <alignment horizontal="center" vertical="center"/>
    </xf>
    <xf numFmtId="0" fontId="0" fillId="5" borderId="3" xfId="0" applyFill="1" applyBorder="1" applyAlignment="1">
      <alignment horizontal="center" vertical="center"/>
    </xf>
    <xf numFmtId="0" fontId="5" fillId="5" borderId="27" xfId="0" applyFont="1" applyFill="1" applyBorder="1" applyAlignment="1">
      <alignment horizontal="center" vertical="center"/>
    </xf>
    <xf numFmtId="0" fontId="5" fillId="5" borderId="29" xfId="0" applyFont="1" applyFill="1" applyBorder="1" applyAlignment="1">
      <alignment horizontal="center" vertical="center"/>
    </xf>
    <xf numFmtId="0" fontId="5" fillId="5" borderId="31" xfId="0" applyFont="1" applyFill="1" applyBorder="1" applyAlignment="1">
      <alignment horizontal="center" vertical="center"/>
    </xf>
    <xf numFmtId="0" fontId="5" fillId="5" borderId="5" xfId="0" applyFont="1" applyFill="1" applyBorder="1" applyAlignment="1">
      <alignment horizontal="center" vertical="center"/>
    </xf>
    <xf numFmtId="0" fontId="8" fillId="5" borderId="3" xfId="0" applyFont="1" applyFill="1" applyBorder="1" applyAlignment="1">
      <alignment horizontal="left" vertical="center"/>
    </xf>
    <xf numFmtId="0" fontId="8" fillId="5" borderId="26" xfId="0" applyFont="1" applyFill="1" applyBorder="1" applyAlignment="1">
      <alignment horizontal="left" vertical="center"/>
    </xf>
    <xf numFmtId="0" fontId="0" fillId="11" borderId="1" xfId="0" applyFill="1" applyBorder="1" applyAlignment="1">
      <alignment horizontal="center" vertical="center"/>
    </xf>
    <xf numFmtId="0" fontId="17" fillId="5" borderId="6" xfId="0" applyFont="1" applyFill="1" applyBorder="1" applyAlignment="1">
      <alignment horizontal="center" vertical="center" wrapText="1"/>
    </xf>
    <xf numFmtId="0" fontId="28" fillId="11" borderId="1" xfId="4" applyFill="1" applyBorder="1" applyAlignment="1">
      <alignment horizontal="center" vertical="center"/>
    </xf>
    <xf numFmtId="0" fontId="23" fillId="5" borderId="6" xfId="0" applyFont="1" applyFill="1" applyBorder="1" applyAlignment="1">
      <alignment horizontal="center" vertical="center"/>
    </xf>
    <xf numFmtId="0" fontId="24" fillId="5" borderId="7" xfId="0" applyFont="1" applyFill="1" applyBorder="1" applyAlignment="1">
      <alignment horizontal="center" vertical="center"/>
    </xf>
    <xf numFmtId="0" fontId="28" fillId="11" borderId="3" xfId="4" applyFill="1" applyBorder="1" applyAlignment="1">
      <alignment horizontal="center" vertical="center"/>
    </xf>
    <xf numFmtId="0" fontId="28" fillId="11" borderId="4" xfId="4" applyFill="1" applyBorder="1" applyAlignment="1">
      <alignment horizontal="center" vertical="center"/>
    </xf>
    <xf numFmtId="0" fontId="0" fillId="5" borderId="1" xfId="0" applyFill="1" applyBorder="1" applyAlignment="1">
      <alignment horizontal="left" vertical="center"/>
    </xf>
    <xf numFmtId="0" fontId="0" fillId="5" borderId="1" xfId="0" applyFill="1" applyBorder="1" applyAlignment="1">
      <alignment horizontal="left" vertical="center" shrinkToFit="1"/>
    </xf>
    <xf numFmtId="0" fontId="0" fillId="0" borderId="8" xfId="0" applyBorder="1" applyAlignment="1">
      <alignment horizontal="left" vertical="center"/>
    </xf>
    <xf numFmtId="0" fontId="15" fillId="0" borderId="0" xfId="0" applyFont="1" applyAlignment="1">
      <alignment horizontal="left" vertical="center"/>
    </xf>
    <xf numFmtId="0" fontId="0" fillId="0" borderId="0" xfId="0">
      <alignment vertical="center"/>
    </xf>
    <xf numFmtId="0" fontId="0" fillId="0" borderId="8" xfId="0" applyBorder="1">
      <alignment vertical="center"/>
    </xf>
    <xf numFmtId="0" fontId="0" fillId="0" borderId="26" xfId="0" applyBorder="1">
      <alignment vertical="center"/>
    </xf>
    <xf numFmtId="0" fontId="0" fillId="0" borderId="4" xfId="0" applyBorder="1">
      <alignment vertical="center"/>
    </xf>
    <xf numFmtId="0" fontId="0" fillId="0" borderId="26" xfId="0" applyBorder="1" applyAlignment="1">
      <alignment horizontal="left" vertical="center" wrapText="1"/>
    </xf>
    <xf numFmtId="0" fontId="0" fillId="9" borderId="6" xfId="0" applyFill="1" applyBorder="1" applyAlignment="1">
      <alignment horizontal="center" vertical="center"/>
    </xf>
    <xf numFmtId="0" fontId="0" fillId="0" borderId="2" xfId="0" applyBorder="1">
      <alignment vertical="center"/>
    </xf>
    <xf numFmtId="0" fontId="0" fillId="5" borderId="6" xfId="0" applyFill="1" applyBorder="1" applyAlignment="1">
      <alignment horizontal="left" vertical="center" shrinkToFit="1"/>
    </xf>
    <xf numFmtId="0" fontId="0" fillId="5" borderId="2" xfId="0" applyFill="1" applyBorder="1" applyAlignment="1">
      <alignment horizontal="left" vertical="center" shrinkToFit="1"/>
    </xf>
    <xf numFmtId="0" fontId="0" fillId="0" borderId="0" xfId="0" applyAlignment="1">
      <alignment horizontal="left" vertical="center" shrinkToFit="1"/>
    </xf>
    <xf numFmtId="177" fontId="16" fillId="0" borderId="3" xfId="0" applyNumberFormat="1" applyFont="1" applyBorder="1" applyAlignment="1">
      <alignment horizontal="center" vertical="center"/>
    </xf>
    <xf numFmtId="177" fontId="16" fillId="0" borderId="4" xfId="0" applyNumberFormat="1" applyFont="1" applyBorder="1" applyAlignment="1">
      <alignment horizontal="center" vertical="center"/>
    </xf>
    <xf numFmtId="0" fontId="29" fillId="0" borderId="28" xfId="0" applyFont="1" applyBorder="1" applyAlignment="1">
      <alignment horizontal="left" vertical="center" wrapText="1" shrinkToFit="1"/>
    </xf>
    <xf numFmtId="0" fontId="30" fillId="0" borderId="28" xfId="0" applyFont="1" applyBorder="1" applyAlignment="1">
      <alignment vertical="center" wrapText="1" shrinkToFit="1"/>
    </xf>
    <xf numFmtId="0" fontId="30" fillId="0" borderId="0" xfId="0" applyFont="1" applyAlignment="1">
      <alignment vertical="center" wrapText="1" shrinkToFit="1"/>
    </xf>
    <xf numFmtId="0" fontId="0" fillId="0" borderId="26" xfId="0" applyBorder="1" applyAlignment="1">
      <alignment horizontal="center" vertical="center"/>
    </xf>
    <xf numFmtId="0" fontId="5" fillId="0" borderId="25" xfId="0" applyFont="1" applyBorder="1" applyAlignment="1">
      <alignment horizontal="center" vertical="center" wrapText="1"/>
    </xf>
    <xf numFmtId="0" fontId="5" fillId="0" borderId="30" xfId="0" applyFont="1" applyBorder="1" applyAlignment="1">
      <alignment horizontal="center" vertical="center" wrapText="1"/>
    </xf>
    <xf numFmtId="177" fontId="0" fillId="0" borderId="3" xfId="0" applyNumberFormat="1" applyBorder="1" applyAlignment="1">
      <alignment horizontal="center" vertical="center"/>
    </xf>
    <xf numFmtId="177" fontId="0" fillId="0" borderId="26" xfId="0" applyNumberFormat="1" applyBorder="1" applyAlignment="1">
      <alignment horizontal="center" vertical="center"/>
    </xf>
    <xf numFmtId="177" fontId="0" fillId="0" borderId="4" xfId="0" applyNumberFormat="1" applyBorder="1" applyAlignment="1">
      <alignment horizontal="center" vertical="center"/>
    </xf>
    <xf numFmtId="0" fontId="16" fillId="0" borderId="1" xfId="0" applyFont="1" applyBorder="1" applyAlignment="1">
      <alignment horizontal="center" vertical="center"/>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29" xfId="0" applyBorder="1" applyAlignment="1">
      <alignment horizontal="left" vertical="center" wrapText="1"/>
    </xf>
    <xf numFmtId="0" fontId="0" fillId="0" borderId="5" xfId="0" applyBorder="1" applyAlignment="1">
      <alignment horizontal="left" vertical="center" wrapText="1"/>
    </xf>
    <xf numFmtId="0" fontId="0" fillId="0" borderId="30" xfId="0" applyBorder="1" applyAlignment="1">
      <alignment horizontal="left" vertical="center" wrapText="1"/>
    </xf>
    <xf numFmtId="0" fontId="0" fillId="0" borderId="30" xfId="0" applyBorder="1" applyAlignment="1">
      <alignment horizontal="center" vertical="center" wrapText="1"/>
    </xf>
    <xf numFmtId="0" fontId="0" fillId="0" borderId="4" xfId="0" applyBorder="1" applyAlignment="1">
      <alignment horizontal="center" vertical="center" wrapText="1"/>
    </xf>
    <xf numFmtId="183" fontId="16" fillId="0" borderId="3" xfId="0" applyNumberFormat="1" applyFont="1" applyBorder="1" applyAlignment="1">
      <alignment horizontal="center" vertical="center"/>
    </xf>
    <xf numFmtId="183" fontId="0" fillId="0" borderId="4" xfId="0" applyNumberFormat="1" applyBorder="1" applyAlignment="1">
      <alignment horizontal="center" vertical="center"/>
    </xf>
    <xf numFmtId="184" fontId="0" fillId="0" borderId="3" xfId="0" applyNumberFormat="1" applyBorder="1" applyAlignment="1">
      <alignment horizontal="center" vertical="center"/>
    </xf>
    <xf numFmtId="184" fontId="0" fillId="0" borderId="4" xfId="0" applyNumberFormat="1" applyBorder="1" applyAlignment="1">
      <alignment horizontal="center" vertical="center"/>
    </xf>
    <xf numFmtId="0" fontId="0" fillId="0" borderId="3" xfId="0" applyBorder="1" applyAlignment="1">
      <alignment vertical="center" wrapText="1"/>
    </xf>
    <xf numFmtId="0" fontId="0" fillId="0" borderId="4" xfId="0" applyBorder="1" applyAlignment="1">
      <alignment vertical="center" wrapText="1"/>
    </xf>
    <xf numFmtId="0" fontId="16" fillId="0" borderId="3" xfId="0" applyFont="1" applyBorder="1" applyAlignment="1">
      <alignment horizontal="left" vertical="center"/>
    </xf>
    <xf numFmtId="0" fontId="8" fillId="0" borderId="0" xfId="0" applyFont="1" applyAlignment="1">
      <alignment horizontal="center" vertical="center"/>
    </xf>
    <xf numFmtId="0" fontId="24" fillId="0" borderId="7" xfId="0" applyFont="1" applyBorder="1">
      <alignment vertical="center"/>
    </xf>
    <xf numFmtId="0" fontId="24" fillId="0" borderId="2" xfId="0" applyFont="1" applyBorder="1">
      <alignment vertical="center"/>
    </xf>
    <xf numFmtId="0" fontId="0" fillId="5" borderId="3" xfId="0" applyFill="1" applyBorder="1" applyAlignment="1">
      <alignment horizontal="left" vertical="center"/>
    </xf>
    <xf numFmtId="0" fontId="0" fillId="5" borderId="4" xfId="0" applyFill="1" applyBorder="1" applyAlignment="1">
      <alignment horizontal="left" vertical="center"/>
    </xf>
    <xf numFmtId="0" fontId="8" fillId="5" borderId="27" xfId="0" applyFont="1" applyFill="1" applyBorder="1" applyAlignment="1">
      <alignment horizontal="center" vertical="center" wrapText="1"/>
    </xf>
    <xf numFmtId="0" fontId="8" fillId="5" borderId="29" xfId="0" applyFont="1" applyFill="1" applyBorder="1" applyAlignment="1">
      <alignment horizontal="center" vertical="center" wrapText="1"/>
    </xf>
    <xf numFmtId="0" fontId="8" fillId="5" borderId="31" xfId="0" applyFont="1" applyFill="1" applyBorder="1" applyAlignment="1">
      <alignment horizontal="center" vertical="center" wrapText="1"/>
    </xf>
    <xf numFmtId="0" fontId="8" fillId="5" borderId="5" xfId="0" applyFont="1" applyFill="1" applyBorder="1" applyAlignment="1">
      <alignment horizontal="center" vertical="center" wrapText="1"/>
    </xf>
    <xf numFmtId="177" fontId="8" fillId="3" borderId="3" xfId="0" applyNumberFormat="1" applyFont="1" applyFill="1" applyBorder="1" applyAlignment="1">
      <alignment horizontal="center" vertical="center"/>
    </xf>
    <xf numFmtId="0" fontId="8" fillId="3" borderId="4" xfId="0" applyFont="1" applyFill="1" applyBorder="1" applyAlignment="1">
      <alignment horizontal="center" vertical="center"/>
    </xf>
    <xf numFmtId="0" fontId="8" fillId="5" borderId="3" xfId="0" applyFont="1" applyFill="1" applyBorder="1" applyAlignment="1">
      <alignment vertical="center" wrapText="1"/>
    </xf>
    <xf numFmtId="0" fontId="0" fillId="5" borderId="26" xfId="0" applyFill="1" applyBorder="1" applyAlignment="1">
      <alignment horizontal="left" vertical="center"/>
    </xf>
    <xf numFmtId="0" fontId="0" fillId="5" borderId="29" xfId="0" applyFill="1" applyBorder="1" applyAlignment="1">
      <alignment horizontal="left" vertical="center"/>
    </xf>
    <xf numFmtId="0" fontId="0" fillId="5" borderId="5" xfId="0" applyFill="1" applyBorder="1" applyAlignment="1">
      <alignment horizontal="left" vertical="center"/>
    </xf>
    <xf numFmtId="0" fontId="8" fillId="5" borderId="6"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5" borderId="4" xfId="0" applyFont="1" applyFill="1" applyBorder="1" applyAlignment="1">
      <alignment vertical="center" wrapText="1"/>
    </xf>
    <xf numFmtId="0" fontId="0" fillId="5" borderId="4" xfId="0" applyFill="1" applyBorder="1">
      <alignment vertical="center"/>
    </xf>
    <xf numFmtId="0" fontId="0" fillId="5" borderId="31" xfId="0" applyFill="1" applyBorder="1">
      <alignment vertical="center"/>
    </xf>
    <xf numFmtId="0" fontId="0" fillId="5" borderId="5" xfId="0" applyFill="1" applyBorder="1">
      <alignment vertical="center"/>
    </xf>
    <xf numFmtId="0" fontId="0" fillId="5" borderId="4" xfId="0" applyFill="1" applyBorder="1" applyAlignment="1">
      <alignment horizontal="center" vertical="center"/>
    </xf>
    <xf numFmtId="0" fontId="0" fillId="3" borderId="4" xfId="0" applyFill="1" applyBorder="1" applyAlignment="1">
      <alignment horizontal="center" vertical="center"/>
    </xf>
    <xf numFmtId="0" fontId="26" fillId="5" borderId="2" xfId="0" applyFont="1" applyFill="1" applyBorder="1" applyAlignment="1">
      <alignment horizontal="center" vertical="center"/>
    </xf>
    <xf numFmtId="184" fontId="0" fillId="3" borderId="3" xfId="0" applyNumberFormat="1" applyFill="1" applyBorder="1" applyAlignment="1">
      <alignment horizontal="center" vertical="center"/>
    </xf>
    <xf numFmtId="0" fontId="0" fillId="5" borderId="3" xfId="0" applyFill="1" applyBorder="1" applyAlignment="1">
      <alignment vertical="center" wrapText="1"/>
    </xf>
    <xf numFmtId="0" fontId="0" fillId="5" borderId="4" xfId="0" applyFill="1" applyBorder="1" applyAlignment="1">
      <alignment vertical="center" wrapText="1"/>
    </xf>
    <xf numFmtId="0" fontId="0" fillId="5" borderId="2" xfId="0" applyFill="1" applyBorder="1" applyAlignment="1">
      <alignment horizontal="center" vertical="center" shrinkToFit="1"/>
    </xf>
    <xf numFmtId="0" fontId="8" fillId="5" borderId="6"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0" fillId="5" borderId="29" xfId="0" applyFill="1" applyBorder="1" applyAlignment="1">
      <alignment horizontal="center" vertical="center"/>
    </xf>
    <xf numFmtId="0" fontId="0" fillId="5" borderId="27" xfId="0" applyFill="1" applyBorder="1" applyAlignment="1">
      <alignment horizontal="center" vertical="center"/>
    </xf>
    <xf numFmtId="0" fontId="0" fillId="5" borderId="31" xfId="0" applyFill="1" applyBorder="1" applyAlignment="1">
      <alignment horizontal="center" vertical="center"/>
    </xf>
    <xf numFmtId="0" fontId="0" fillId="5" borderId="5" xfId="0" applyFill="1" applyBorder="1" applyAlignment="1">
      <alignment horizontal="center" vertical="center"/>
    </xf>
    <xf numFmtId="0" fontId="0" fillId="5" borderId="25" xfId="0" applyFill="1" applyBorder="1" applyAlignment="1">
      <alignment horizontal="left" vertical="center"/>
    </xf>
    <xf numFmtId="0" fontId="14" fillId="5" borderId="3" xfId="0" applyFont="1" applyFill="1" applyBorder="1" applyAlignment="1">
      <alignment horizontal="left" vertical="center"/>
    </xf>
    <xf numFmtId="0" fontId="17" fillId="5" borderId="26" xfId="0" applyFont="1" applyFill="1" applyBorder="1" applyAlignment="1">
      <alignment horizontal="left" vertical="center"/>
    </xf>
    <xf numFmtId="0" fontId="17" fillId="5" borderId="4" xfId="0" applyFont="1" applyFill="1" applyBorder="1" applyAlignment="1">
      <alignment horizontal="left" vertical="center"/>
    </xf>
    <xf numFmtId="186" fontId="0" fillId="11" borderId="4" xfId="0" applyNumberFormat="1" applyFill="1" applyBorder="1" applyAlignment="1">
      <alignment horizontal="center" vertical="center"/>
    </xf>
    <xf numFmtId="186" fontId="0" fillId="11" borderId="1" xfId="0" applyNumberFormat="1" applyFill="1" applyBorder="1" applyAlignment="1">
      <alignment horizontal="center" vertical="center"/>
    </xf>
    <xf numFmtId="0" fontId="5" fillId="5" borderId="5" xfId="0" applyFont="1" applyFill="1" applyBorder="1" applyAlignment="1">
      <alignment horizontal="center" vertical="center" wrapText="1"/>
    </xf>
    <xf numFmtId="0" fontId="17" fillId="5" borderId="3" xfId="0" applyFont="1" applyFill="1" applyBorder="1" applyAlignment="1">
      <alignment horizontal="left" vertical="center"/>
    </xf>
    <xf numFmtId="0" fontId="17" fillId="5" borderId="27" xfId="0" applyFont="1" applyFill="1" applyBorder="1" applyAlignment="1">
      <alignment horizontal="center" vertical="center" shrinkToFit="1"/>
    </xf>
    <xf numFmtId="0" fontId="17" fillId="5" borderId="29" xfId="0" applyFont="1" applyFill="1" applyBorder="1" applyAlignment="1">
      <alignment horizontal="center" vertical="center" shrinkToFit="1"/>
    </xf>
    <xf numFmtId="177" fontId="17" fillId="3" borderId="3" xfId="0" applyNumberFormat="1" applyFont="1" applyFill="1" applyBorder="1" applyAlignment="1">
      <alignment horizontal="center" vertical="center"/>
    </xf>
    <xf numFmtId="0" fontId="17" fillId="3" borderId="4" xfId="0" applyFont="1" applyFill="1" applyBorder="1" applyAlignment="1">
      <alignment horizontal="center" vertical="center"/>
    </xf>
    <xf numFmtId="0" fontId="17" fillId="5" borderId="31" xfId="0" applyFont="1" applyFill="1" applyBorder="1" applyAlignment="1">
      <alignment horizontal="center" vertical="center"/>
    </xf>
    <xf numFmtId="0" fontId="17" fillId="5" borderId="5" xfId="0" applyFont="1" applyFill="1" applyBorder="1" applyAlignment="1">
      <alignment horizontal="center" vertical="center"/>
    </xf>
    <xf numFmtId="0" fontId="31" fillId="5" borderId="27" xfId="0" applyFont="1" applyFill="1" applyBorder="1" applyAlignment="1">
      <alignment horizontal="center" vertical="center" wrapText="1"/>
    </xf>
    <xf numFmtId="0" fontId="32" fillId="5" borderId="29" xfId="0" applyFont="1" applyFill="1" applyBorder="1" applyAlignment="1">
      <alignment horizontal="center" vertical="center" wrapText="1"/>
    </xf>
    <xf numFmtId="0" fontId="32" fillId="5" borderId="31"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14" fillId="5" borderId="26" xfId="0" applyFont="1" applyFill="1" applyBorder="1" applyAlignment="1">
      <alignment horizontal="left" vertical="center"/>
    </xf>
    <xf numFmtId="0" fontId="14" fillId="5" borderId="4" xfId="0" applyFont="1" applyFill="1" applyBorder="1" applyAlignment="1">
      <alignment horizontal="left" vertical="center"/>
    </xf>
    <xf numFmtId="177" fontId="8" fillId="3" borderId="4" xfId="0" applyNumberFormat="1" applyFont="1" applyFill="1" applyBorder="1" applyAlignment="1">
      <alignment horizontal="center" vertical="center"/>
    </xf>
    <xf numFmtId="0" fontId="0" fillId="5" borderId="26" xfId="0" applyFill="1" applyBorder="1" applyAlignment="1">
      <alignment horizontal="center" vertical="center"/>
    </xf>
    <xf numFmtId="0" fontId="17" fillId="5" borderId="6" xfId="0" applyFont="1" applyFill="1" applyBorder="1" applyAlignment="1">
      <alignment horizontal="center" vertical="center" shrinkToFit="1"/>
    </xf>
    <xf numFmtId="0" fontId="17" fillId="5" borderId="2" xfId="0" applyFont="1" applyFill="1" applyBorder="1" applyAlignment="1">
      <alignment horizontal="center" vertical="center" shrinkToFit="1"/>
    </xf>
    <xf numFmtId="0" fontId="33" fillId="0" borderId="0" xfId="0" applyFont="1" applyAlignment="1">
      <alignment horizontal="left" vertical="center" wrapText="1"/>
    </xf>
    <xf numFmtId="0" fontId="34" fillId="0" borderId="0" xfId="0" applyFont="1" applyAlignment="1">
      <alignment vertical="center" wrapText="1"/>
    </xf>
    <xf numFmtId="0" fontId="0" fillId="5" borderId="28" xfId="0" applyFill="1" applyBorder="1" applyAlignment="1">
      <alignment horizontal="center" vertical="center"/>
    </xf>
    <xf numFmtId="0" fontId="0" fillId="5" borderId="8" xfId="0" applyFill="1" applyBorder="1" applyAlignment="1">
      <alignment horizontal="center" vertical="center"/>
    </xf>
    <xf numFmtId="178" fontId="8" fillId="3" borderId="3" xfId="0" applyNumberFormat="1" applyFont="1" applyFill="1" applyBorder="1" applyAlignment="1">
      <alignment horizontal="center" vertical="center"/>
    </xf>
    <xf numFmtId="178" fontId="8" fillId="3" borderId="4" xfId="0" applyNumberFormat="1" applyFont="1" applyFill="1" applyBorder="1" applyAlignment="1">
      <alignment horizontal="center" vertical="center"/>
    </xf>
    <xf numFmtId="0" fontId="0" fillId="11" borderId="26" xfId="0" applyFill="1" applyBorder="1" applyAlignment="1">
      <alignment horizontal="center" vertical="center"/>
    </xf>
    <xf numFmtId="0" fontId="0" fillId="5" borderId="1" xfId="0" applyFill="1" applyBorder="1">
      <alignment vertical="center"/>
    </xf>
    <xf numFmtId="0" fontId="26" fillId="5" borderId="1" xfId="0" applyFont="1" applyFill="1" applyBorder="1" applyAlignment="1">
      <alignment horizontal="center" vertical="center"/>
    </xf>
    <xf numFmtId="0" fontId="23" fillId="5" borderId="1" xfId="0" applyFont="1" applyFill="1" applyBorder="1" applyAlignment="1">
      <alignment horizontal="center" vertical="center"/>
    </xf>
    <xf numFmtId="0" fontId="8" fillId="5" borderId="1" xfId="0" applyFont="1" applyFill="1" applyBorder="1" applyAlignment="1">
      <alignment horizontal="left" vertical="center"/>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14" fillId="5" borderId="1" xfId="0" applyFont="1" applyFill="1" applyBorder="1" applyAlignment="1">
      <alignment horizontal="left" vertical="center"/>
    </xf>
    <xf numFmtId="0" fontId="17" fillId="5" borderId="1" xfId="0" applyFont="1" applyFill="1" applyBorder="1" applyAlignment="1">
      <alignment horizontal="left" vertical="center"/>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61" fillId="5" borderId="27" xfId="0" applyFont="1" applyFill="1" applyBorder="1" applyAlignment="1">
      <alignment horizontal="center" vertical="center" wrapText="1"/>
    </xf>
    <xf numFmtId="0" fontId="61" fillId="5" borderId="29" xfId="0" applyFont="1" applyFill="1" applyBorder="1" applyAlignment="1">
      <alignment horizontal="center" vertical="center" wrapText="1"/>
    </xf>
    <xf numFmtId="0" fontId="61" fillId="5" borderId="31" xfId="0" applyFont="1" applyFill="1" applyBorder="1" applyAlignment="1">
      <alignment horizontal="center" vertical="center" wrapText="1"/>
    </xf>
    <xf numFmtId="0" fontId="61" fillId="5" borderId="5" xfId="0" applyFont="1" applyFill="1" applyBorder="1" applyAlignment="1">
      <alignment horizontal="center" vertical="center" wrapText="1"/>
    </xf>
    <xf numFmtId="177" fontId="17" fillId="3" borderId="4" xfId="0" applyNumberFormat="1" applyFont="1" applyFill="1" applyBorder="1" applyAlignment="1">
      <alignment horizontal="center" vertical="center"/>
    </xf>
    <xf numFmtId="0" fontId="14" fillId="5" borderId="1" xfId="0" applyFont="1" applyFill="1" applyBorder="1" applyAlignment="1">
      <alignment horizontal="left" vertical="center" wrapText="1"/>
    </xf>
    <xf numFmtId="0" fontId="8" fillId="5" borderId="1" xfId="0" applyFont="1" applyFill="1" applyBorder="1" applyAlignment="1">
      <alignment horizontal="left" vertical="center" wrapText="1"/>
    </xf>
    <xf numFmtId="0" fontId="38" fillId="5" borderId="6"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16" fillId="5" borderId="1" xfId="0" applyFont="1" applyFill="1" applyBorder="1" applyAlignment="1">
      <alignment horizontal="left" vertical="center"/>
    </xf>
    <xf numFmtId="0" fontId="0" fillId="0" borderId="1" xfId="0" applyBorder="1" applyAlignment="1">
      <alignment horizontal="left" vertical="center"/>
    </xf>
    <xf numFmtId="178" fontId="0" fillId="0" borderId="6" xfId="0" applyNumberFormat="1" applyBorder="1" applyAlignment="1">
      <alignment horizontal="center" vertical="center"/>
    </xf>
    <xf numFmtId="0" fontId="23" fillId="9" borderId="1" xfId="0" applyFont="1" applyFill="1" applyBorder="1" applyAlignment="1">
      <alignment horizontal="center" vertical="center"/>
    </xf>
    <xf numFmtId="0" fontId="24" fillId="9" borderId="1" xfId="0" applyFont="1" applyFill="1" applyBorder="1" applyAlignment="1">
      <alignment horizontal="center" vertical="center"/>
    </xf>
    <xf numFmtId="180" fontId="0" fillId="0" borderId="6" xfId="0" applyNumberFormat="1" applyBorder="1" applyAlignment="1">
      <alignment horizontal="center" vertical="center"/>
    </xf>
    <xf numFmtId="180" fontId="0" fillId="0" borderId="2" xfId="0" applyNumberFormat="1" applyBorder="1" applyAlignment="1">
      <alignment horizontal="center" vertical="center"/>
    </xf>
    <xf numFmtId="177" fontId="0" fillId="0" borderId="6" xfId="0" applyNumberFormat="1" applyBorder="1" applyAlignment="1">
      <alignment horizontal="center" vertical="center"/>
    </xf>
    <xf numFmtId="177" fontId="0" fillId="0" borderId="2" xfId="0" applyNumberFormat="1" applyBorder="1" applyAlignment="1">
      <alignment horizontal="center" vertical="center"/>
    </xf>
    <xf numFmtId="187" fontId="0" fillId="0" borderId="3" xfId="0" applyNumberFormat="1" applyBorder="1" applyAlignment="1">
      <alignment horizontal="center" vertical="center"/>
    </xf>
    <xf numFmtId="187" fontId="0" fillId="0" borderId="4" xfId="0" applyNumberFormat="1" applyBorder="1" applyAlignment="1">
      <alignment horizontal="center" vertical="center"/>
    </xf>
    <xf numFmtId="188" fontId="0" fillId="0" borderId="3" xfId="0" applyNumberFormat="1" applyBorder="1" applyAlignment="1">
      <alignment horizontal="center" vertical="center"/>
    </xf>
    <xf numFmtId="188" fontId="0" fillId="0" borderId="4" xfId="0" applyNumberFormat="1" applyBorder="1" applyAlignment="1">
      <alignment horizontal="center" vertical="center"/>
    </xf>
    <xf numFmtId="0" fontId="5" fillId="0" borderId="27" xfId="0" applyFont="1" applyBorder="1" applyAlignment="1">
      <alignment horizontal="center" vertical="center"/>
    </xf>
    <xf numFmtId="0" fontId="5" fillId="0" borderId="29" xfId="0" applyFont="1" applyBorder="1" applyAlignment="1">
      <alignment horizontal="center" vertical="center"/>
    </xf>
    <xf numFmtId="0" fontId="5" fillId="0" borderId="31" xfId="0" applyFont="1" applyBorder="1" applyAlignment="1">
      <alignment horizontal="center" vertical="center"/>
    </xf>
    <xf numFmtId="0" fontId="5" fillId="0" borderId="5" xfId="0" applyFont="1" applyBorder="1" applyAlignment="1">
      <alignment horizontal="center" vertical="center"/>
    </xf>
    <xf numFmtId="178" fontId="0" fillId="0" borderId="3" xfId="0" applyNumberFormat="1" applyBorder="1" applyAlignment="1">
      <alignment horizontal="center" vertical="center"/>
    </xf>
    <xf numFmtId="178" fontId="0" fillId="0" borderId="4" xfId="0" applyNumberFormat="1" applyBorder="1" applyAlignment="1">
      <alignment horizontal="center" vertical="center"/>
    </xf>
    <xf numFmtId="0" fontId="0" fillId="0" borderId="26" xfId="0" applyBorder="1" applyAlignment="1">
      <alignment horizontal="center" vertical="center" wrapText="1"/>
    </xf>
    <xf numFmtId="0" fontId="38" fillId="0" borderId="27" xfId="0" applyFont="1" applyBorder="1" applyAlignment="1">
      <alignment horizontal="center" vertical="center" wrapText="1"/>
    </xf>
    <xf numFmtId="0" fontId="38" fillId="0" borderId="29" xfId="0" applyFont="1" applyBorder="1" applyAlignment="1">
      <alignment horizontal="center" vertical="center" wrapText="1"/>
    </xf>
    <xf numFmtId="0" fontId="38" fillId="0" borderId="25" xfId="0" applyFont="1" applyBorder="1" applyAlignment="1">
      <alignment horizontal="center" vertical="center" wrapText="1"/>
    </xf>
    <xf numFmtId="0" fontId="38" fillId="0" borderId="30" xfId="0" applyFont="1" applyBorder="1" applyAlignment="1">
      <alignment horizontal="center" vertical="center" wrapText="1"/>
    </xf>
    <xf numFmtId="0" fontId="38" fillId="0" borderId="31" xfId="0" applyFont="1" applyBorder="1" applyAlignment="1">
      <alignment horizontal="center" vertical="center" wrapText="1"/>
    </xf>
    <xf numFmtId="0" fontId="38" fillId="0" borderId="5" xfId="0" applyFont="1" applyBorder="1" applyAlignment="1">
      <alignment horizontal="center" vertical="center" wrapText="1"/>
    </xf>
    <xf numFmtId="178" fontId="8" fillId="0" borderId="3" xfId="0" applyNumberFormat="1" applyFont="1" applyBorder="1" applyAlignment="1">
      <alignment horizontal="center" vertical="center"/>
    </xf>
    <xf numFmtId="178" fontId="8" fillId="0" borderId="26" xfId="0" applyNumberFormat="1" applyFont="1" applyBorder="1" applyAlignment="1">
      <alignment horizontal="center" vertical="center"/>
    </xf>
    <xf numFmtId="178" fontId="8" fillId="0" borderId="4" xfId="0" applyNumberFormat="1" applyFont="1" applyBorder="1" applyAlignment="1">
      <alignment horizontal="center" vertical="center"/>
    </xf>
    <xf numFmtId="0" fontId="8" fillId="0" borderId="3" xfId="0" applyFont="1" applyBorder="1" applyAlignment="1">
      <alignment horizontal="left" vertical="center" wrapText="1"/>
    </xf>
    <xf numFmtId="0" fontId="8" fillId="0" borderId="26"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vertical="center"/>
    </xf>
    <xf numFmtId="178" fontId="16" fillId="0" borderId="3" xfId="0" applyNumberFormat="1" applyFont="1" applyBorder="1" applyAlignment="1">
      <alignment horizontal="center" vertical="center"/>
    </xf>
    <xf numFmtId="178" fontId="16" fillId="0" borderId="4" xfId="0" applyNumberFormat="1" applyFont="1" applyBorder="1" applyAlignment="1">
      <alignment horizontal="center" vertical="center"/>
    </xf>
    <xf numFmtId="0" fontId="0" fillId="8" borderId="3" xfId="0" applyFill="1" applyBorder="1" applyAlignment="1">
      <alignment horizontal="center" vertical="center"/>
    </xf>
    <xf numFmtId="0" fontId="0" fillId="8" borderId="4" xfId="0" applyFill="1" applyBorder="1" applyAlignment="1">
      <alignment horizontal="center" vertical="center"/>
    </xf>
    <xf numFmtId="0" fontId="0" fillId="9" borderId="3" xfId="0" applyFill="1" applyBorder="1" applyAlignment="1">
      <alignment horizontal="center" vertical="center"/>
    </xf>
    <xf numFmtId="0" fontId="0" fillId="9" borderId="4" xfId="0" applyFill="1" applyBorder="1" applyAlignment="1">
      <alignment horizontal="center" vertical="center"/>
    </xf>
    <xf numFmtId="0" fontId="8"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1" fillId="0" borderId="27" xfId="8" applyBorder="1" applyAlignment="1">
      <alignment horizontal="center" vertical="center" wrapText="1"/>
    </xf>
    <xf numFmtId="0" fontId="41" fillId="0" borderId="29" xfId="8" applyBorder="1" applyAlignment="1">
      <alignment horizontal="center" vertical="center" wrapText="1"/>
    </xf>
    <xf numFmtId="0" fontId="41" fillId="0" borderId="25" xfId="8" applyBorder="1" applyAlignment="1">
      <alignment horizontal="center" vertical="center" wrapText="1"/>
    </xf>
    <xf numFmtId="0" fontId="41" fillId="0" borderId="30" xfId="8" applyBorder="1" applyAlignment="1">
      <alignment horizontal="center" vertical="center" wrapText="1"/>
    </xf>
    <xf numFmtId="0" fontId="41" fillId="0" borderId="31" xfId="8" applyBorder="1" applyAlignment="1">
      <alignment horizontal="center" vertical="center" wrapText="1"/>
    </xf>
    <xf numFmtId="0" fontId="41" fillId="0" borderId="5" xfId="8" applyBorder="1" applyAlignment="1">
      <alignment horizontal="center" vertical="center" wrapText="1"/>
    </xf>
    <xf numFmtId="0" fontId="41" fillId="0" borderId="1" xfId="8" applyBorder="1" applyAlignment="1">
      <alignment horizontal="center" vertical="center"/>
    </xf>
    <xf numFmtId="0" fontId="41" fillId="0" borderId="1" xfId="8" applyBorder="1" applyAlignment="1">
      <alignment horizontal="left" vertical="center" shrinkToFit="1"/>
    </xf>
    <xf numFmtId="0" fontId="41" fillId="0" borderId="1" xfId="8" applyBorder="1" applyAlignment="1">
      <alignment horizontal="center" vertical="center" shrinkToFit="1"/>
    </xf>
    <xf numFmtId="0" fontId="41" fillId="0" borderId="1" xfId="8" applyBorder="1" applyAlignment="1">
      <alignment horizontal="left" vertical="center"/>
    </xf>
    <xf numFmtId="0" fontId="41" fillId="0" borderId="1" xfId="8" applyBorder="1" applyAlignment="1">
      <alignment horizontal="center" vertical="center" wrapText="1"/>
    </xf>
    <xf numFmtId="0" fontId="41" fillId="0" borderId="3" xfId="8" applyBorder="1" applyAlignment="1">
      <alignment horizontal="center" vertical="center" textRotation="255"/>
    </xf>
    <xf numFmtId="0" fontId="41" fillId="0" borderId="26" xfId="8" applyBorder="1" applyAlignment="1">
      <alignment horizontal="center" vertical="center" textRotation="255"/>
    </xf>
    <xf numFmtId="0" fontId="41" fillId="0" borderId="4" xfId="8" applyBorder="1" applyAlignment="1">
      <alignment horizontal="center" vertical="center" textRotation="255"/>
    </xf>
    <xf numFmtId="0" fontId="41" fillId="0" borderId="7" xfId="8" applyBorder="1" applyAlignment="1">
      <alignment horizontal="center" vertical="center"/>
    </xf>
    <xf numFmtId="0" fontId="41" fillId="0" borderId="2" xfId="8" applyBorder="1" applyAlignment="1">
      <alignment horizontal="center" vertical="center"/>
    </xf>
    <xf numFmtId="0" fontId="41" fillId="0" borderId="6" xfId="8" applyBorder="1" applyAlignment="1">
      <alignment horizontal="center" vertical="center"/>
    </xf>
    <xf numFmtId="0" fontId="41" fillId="0" borderId="3" xfId="8" applyBorder="1" applyAlignment="1">
      <alignment horizontal="center" vertical="center"/>
    </xf>
    <xf numFmtId="0" fontId="41" fillId="0" borderId="26" xfId="8" applyBorder="1" applyAlignment="1">
      <alignment horizontal="center" vertical="center"/>
    </xf>
    <xf numFmtId="0" fontId="41" fillId="0" borderId="4" xfId="8" applyBorder="1" applyAlignment="1">
      <alignment horizontal="center" vertical="center"/>
    </xf>
    <xf numFmtId="0" fontId="41" fillId="0" borderId="27" xfId="8" applyBorder="1" applyAlignment="1">
      <alignment vertical="center" wrapText="1" shrinkToFit="1"/>
    </xf>
    <xf numFmtId="0" fontId="41" fillId="0" borderId="28" xfId="8" applyBorder="1" applyAlignment="1">
      <alignment vertical="center" shrinkToFit="1"/>
    </xf>
    <xf numFmtId="0" fontId="41" fillId="0" borderId="29" xfId="8" applyBorder="1" applyAlignment="1">
      <alignment vertical="center" shrinkToFit="1"/>
    </xf>
    <xf numFmtId="0" fontId="41" fillId="0" borderId="25" xfId="8" applyBorder="1" applyAlignment="1">
      <alignment vertical="center" shrinkToFit="1"/>
    </xf>
    <xf numFmtId="0" fontId="41" fillId="0" borderId="0" xfId="8" applyAlignment="1">
      <alignment vertical="center" shrinkToFit="1"/>
    </xf>
    <xf numFmtId="0" fontId="41" fillId="0" borderId="30" xfId="8" applyBorder="1" applyAlignment="1">
      <alignment vertical="center" shrinkToFit="1"/>
    </xf>
    <xf numFmtId="0" fontId="41" fillId="0" borderId="31" xfId="8" applyBorder="1" applyAlignment="1">
      <alignment vertical="center" shrinkToFit="1"/>
    </xf>
    <xf numFmtId="0" fontId="41" fillId="0" borderId="8" xfId="8" applyBorder="1" applyAlignment="1">
      <alignment vertical="center" shrinkToFit="1"/>
    </xf>
    <xf numFmtId="0" fontId="41" fillId="0" borderId="5" xfId="8" applyBorder="1" applyAlignment="1">
      <alignment vertical="center" shrinkToFit="1"/>
    </xf>
    <xf numFmtId="0" fontId="41" fillId="0" borderId="27" xfId="8" applyBorder="1" applyAlignment="1">
      <alignment horizontal="center" vertical="center"/>
    </xf>
    <xf numFmtId="0" fontId="41" fillId="0" borderId="29" xfId="8" applyBorder="1" applyAlignment="1">
      <alignment horizontal="center" vertical="center"/>
    </xf>
    <xf numFmtId="0" fontId="41" fillId="0" borderId="31" xfId="8" applyBorder="1" applyAlignment="1">
      <alignment horizontal="center" vertical="center"/>
    </xf>
    <xf numFmtId="0" fontId="41" fillId="0" borderId="5" xfId="8" applyBorder="1" applyAlignment="1">
      <alignment horizontal="center" vertical="center"/>
    </xf>
    <xf numFmtId="0" fontId="41" fillId="0" borderId="27" xfId="8" applyBorder="1" applyAlignment="1">
      <alignment vertical="center" wrapText="1"/>
    </xf>
    <xf numFmtId="0" fontId="41" fillId="0" borderId="28" xfId="8" applyBorder="1">
      <alignment vertical="center"/>
    </xf>
    <xf numFmtId="0" fontId="41" fillId="0" borderId="29" xfId="8" applyBorder="1">
      <alignment vertical="center"/>
    </xf>
    <xf numFmtId="0" fontId="41" fillId="0" borderId="31" xfId="8" applyBorder="1">
      <alignment vertical="center"/>
    </xf>
    <xf numFmtId="0" fontId="41" fillId="0" borderId="8" xfId="8" applyBorder="1">
      <alignment vertical="center"/>
    </xf>
    <xf numFmtId="0" fontId="41" fillId="0" borderId="5" xfId="8" applyBorder="1">
      <alignment vertical="center"/>
    </xf>
    <xf numFmtId="0" fontId="41" fillId="0" borderId="1" xfId="8" applyBorder="1" applyAlignment="1">
      <alignment vertical="center" shrinkToFit="1"/>
    </xf>
    <xf numFmtId="0" fontId="41" fillId="0" borderId="3" xfId="8" applyBorder="1" applyAlignment="1">
      <alignment horizontal="center" vertical="center" wrapText="1"/>
    </xf>
    <xf numFmtId="0" fontId="41" fillId="0" borderId="4" xfId="8" applyBorder="1" applyAlignment="1">
      <alignment horizontal="center" vertical="center" wrapText="1"/>
    </xf>
    <xf numFmtId="0" fontId="50" fillId="0" borderId="1" xfId="8" applyFont="1" applyBorder="1" applyAlignment="1">
      <alignment horizontal="left" vertical="center" shrinkToFit="1"/>
    </xf>
    <xf numFmtId="0" fontId="41" fillId="0" borderId="28" xfId="8" applyBorder="1" applyAlignment="1">
      <alignment horizontal="center" vertical="center"/>
    </xf>
    <xf numFmtId="0" fontId="41" fillId="0" borderId="8" xfId="8" applyBorder="1" applyAlignment="1">
      <alignment horizontal="center" vertical="center"/>
    </xf>
    <xf numFmtId="0" fontId="41" fillId="0" borderId="27" xfId="8" applyBorder="1" applyAlignment="1">
      <alignment horizontal="left" vertical="center" wrapText="1"/>
    </xf>
    <xf numFmtId="0" fontId="41" fillId="0" borderId="28" xfId="8" applyBorder="1" applyAlignment="1">
      <alignment horizontal="left" vertical="center"/>
    </xf>
    <xf numFmtId="0" fontId="41" fillId="0" borderId="29" xfId="8" applyBorder="1" applyAlignment="1">
      <alignment horizontal="left" vertical="center"/>
    </xf>
    <xf numFmtId="0" fontId="41" fillId="0" borderId="31" xfId="8" applyBorder="1" applyAlignment="1">
      <alignment horizontal="left" vertical="center"/>
    </xf>
    <xf numFmtId="0" fontId="41" fillId="0" borderId="8" xfId="8" applyBorder="1" applyAlignment="1">
      <alignment horizontal="left" vertical="center"/>
    </xf>
    <xf numFmtId="0" fontId="41" fillId="0" borderId="5" xfId="8" applyBorder="1" applyAlignment="1">
      <alignment horizontal="left" vertical="center"/>
    </xf>
    <xf numFmtId="3" fontId="41" fillId="0" borderId="3" xfId="8" applyNumberFormat="1" applyBorder="1">
      <alignment vertical="center"/>
    </xf>
    <xf numFmtId="3" fontId="41" fillId="0" borderId="4" xfId="8" applyNumberFormat="1" applyBorder="1">
      <alignment vertical="center"/>
    </xf>
    <xf numFmtId="0" fontId="50" fillId="0" borderId="27" xfId="8" applyFont="1" applyBorder="1" applyAlignment="1">
      <alignment horizontal="center" vertical="center" shrinkToFit="1"/>
    </xf>
    <xf numFmtId="0" fontId="50" fillId="0" borderId="29" xfId="8" applyFont="1" applyBorder="1" applyAlignment="1">
      <alignment horizontal="center" vertical="center" shrinkToFit="1"/>
    </xf>
    <xf numFmtId="0" fontId="50" fillId="0" borderId="31" xfId="8" applyFont="1" applyBorder="1" applyAlignment="1">
      <alignment horizontal="center" vertical="center" shrinkToFit="1"/>
    </xf>
    <xf numFmtId="0" fontId="50" fillId="0" borderId="5" xfId="8" applyFont="1" applyBorder="1" applyAlignment="1">
      <alignment horizontal="center" vertical="center" shrinkToFit="1"/>
    </xf>
    <xf numFmtId="0" fontId="50" fillId="0" borderId="1" xfId="8" applyFont="1" applyBorder="1" applyAlignment="1">
      <alignment vertical="center" wrapText="1" shrinkToFit="1"/>
    </xf>
    <xf numFmtId="0" fontId="50" fillId="0" borderId="1" xfId="8" applyFont="1" applyBorder="1" applyAlignment="1">
      <alignment vertical="center" shrinkToFit="1"/>
    </xf>
    <xf numFmtId="0" fontId="45" fillId="0" borderId="27" xfId="8" applyFont="1" applyBorder="1" applyAlignment="1">
      <alignment horizontal="left" vertical="center" wrapText="1"/>
    </xf>
    <xf numFmtId="0" fontId="45" fillId="0" borderId="28" xfId="8" applyFont="1" applyBorder="1" applyAlignment="1">
      <alignment horizontal="left" vertical="center" wrapText="1"/>
    </xf>
    <xf numFmtId="0" fontId="45" fillId="0" borderId="29" xfId="8" applyFont="1" applyBorder="1" applyAlignment="1">
      <alignment horizontal="left" vertical="center" wrapText="1"/>
    </xf>
    <xf numFmtId="0" fontId="45" fillId="0" borderId="31" xfId="8" applyFont="1" applyBorder="1" applyAlignment="1">
      <alignment horizontal="left" vertical="center" wrapText="1"/>
    </xf>
    <xf numFmtId="0" fontId="45" fillId="0" borderId="8" xfId="8" applyFont="1" applyBorder="1" applyAlignment="1">
      <alignment horizontal="left" vertical="center" wrapText="1"/>
    </xf>
    <xf numFmtId="0" fontId="45" fillId="0" borderId="5" xfId="8" applyFont="1" applyBorder="1" applyAlignment="1">
      <alignment horizontal="left" vertical="center" wrapText="1"/>
    </xf>
    <xf numFmtId="0" fontId="50" fillId="0" borderId="27" xfId="8" applyFont="1" applyBorder="1" applyAlignment="1">
      <alignment vertical="center" wrapText="1" shrinkToFit="1"/>
    </xf>
    <xf numFmtId="0" fontId="50" fillId="0" borderId="29" xfId="8" applyFont="1" applyBorder="1" applyAlignment="1">
      <alignment vertical="center" shrinkToFit="1"/>
    </xf>
    <xf numFmtId="0" fontId="50" fillId="0" borderId="31" xfId="8" applyFont="1" applyBorder="1" applyAlignment="1">
      <alignment vertical="center" shrinkToFit="1"/>
    </xf>
    <xf numFmtId="0" fontId="50" fillId="0" borderId="5" xfId="8" applyFont="1" applyBorder="1" applyAlignment="1">
      <alignment vertical="center" shrinkToFit="1"/>
    </xf>
    <xf numFmtId="0" fontId="41" fillId="0" borderId="25" xfId="8" applyBorder="1" applyAlignment="1">
      <alignment horizontal="center" vertical="center"/>
    </xf>
    <xf numFmtId="0" fontId="41" fillId="0" borderId="30" xfId="8" applyBorder="1" applyAlignment="1">
      <alignment horizontal="center" vertical="center"/>
    </xf>
    <xf numFmtId="0" fontId="41" fillId="0" borderId="27" xfId="8" applyBorder="1" applyAlignment="1">
      <alignment horizontal="center" vertical="center" textRotation="255"/>
    </xf>
    <xf numFmtId="0" fontId="41" fillId="0" borderId="25" xfId="8" applyBorder="1" applyAlignment="1">
      <alignment horizontal="center" vertical="center" textRotation="255"/>
    </xf>
    <xf numFmtId="0" fontId="41" fillId="0" borderId="31" xfId="8" applyBorder="1" applyAlignment="1">
      <alignment horizontal="center" vertical="center" textRotation="255"/>
    </xf>
    <xf numFmtId="0" fontId="50" fillId="0" borderId="29" xfId="8" applyFont="1" applyBorder="1" applyAlignment="1">
      <alignment vertical="center" wrapText="1" shrinkToFit="1"/>
    </xf>
    <xf numFmtId="0" fontId="50" fillId="0" borderId="31" xfId="8" applyFont="1" applyBorder="1" applyAlignment="1">
      <alignment vertical="center" wrapText="1" shrinkToFit="1"/>
    </xf>
    <xf numFmtId="0" fontId="50" fillId="0" borderId="5" xfId="8" applyFont="1" applyBorder="1" applyAlignment="1">
      <alignment vertical="center" wrapText="1" shrinkToFit="1"/>
    </xf>
    <xf numFmtId="0" fontId="41" fillId="0" borderId="28" xfId="8" applyBorder="1" applyAlignment="1">
      <alignment horizontal="left" vertical="center" wrapText="1"/>
    </xf>
    <xf numFmtId="0" fontId="41" fillId="0" borderId="29" xfId="8" applyBorder="1" applyAlignment="1">
      <alignment horizontal="left" vertical="center" wrapText="1"/>
    </xf>
    <xf numFmtId="0" fontId="41" fillId="0" borderId="25" xfId="8" applyBorder="1" applyAlignment="1">
      <alignment horizontal="left" vertical="center" wrapText="1"/>
    </xf>
    <xf numFmtId="0" fontId="41" fillId="0" borderId="0" xfId="8" applyAlignment="1">
      <alignment horizontal="left" vertical="center" wrapText="1"/>
    </xf>
    <xf numFmtId="0" fontId="41" fillId="0" borderId="30" xfId="8" applyBorder="1" applyAlignment="1">
      <alignment horizontal="left" vertical="center" wrapText="1"/>
    </xf>
    <xf numFmtId="0" fontId="41" fillId="0" borderId="31" xfId="8" applyBorder="1" applyAlignment="1">
      <alignment horizontal="left" vertical="center" wrapText="1"/>
    </xf>
    <xf numFmtId="0" fontId="41" fillId="0" borderId="8" xfId="8" applyBorder="1" applyAlignment="1">
      <alignment horizontal="left" vertical="center" wrapText="1"/>
    </xf>
    <xf numFmtId="0" fontId="41" fillId="0" borderId="5" xfId="8" applyBorder="1" applyAlignment="1">
      <alignment horizontal="left" vertical="center" wrapText="1"/>
    </xf>
    <xf numFmtId="189" fontId="41" fillId="0" borderId="1" xfId="8" applyNumberFormat="1" applyBorder="1">
      <alignment vertical="center"/>
    </xf>
    <xf numFmtId="0" fontId="50" fillId="0" borderId="25" xfId="8" applyFont="1" applyBorder="1" applyAlignment="1">
      <alignment vertical="center" wrapText="1" shrinkToFit="1"/>
    </xf>
    <xf numFmtId="0" fontId="50" fillId="0" borderId="30" xfId="8" applyFont="1" applyBorder="1" applyAlignment="1">
      <alignment vertical="center" wrapText="1" shrinkToFit="1"/>
    </xf>
    <xf numFmtId="0" fontId="41" fillId="0" borderId="1" xfId="8" applyBorder="1" applyAlignment="1">
      <alignment horizontal="center" vertical="center" textRotation="255"/>
    </xf>
    <xf numFmtId="0" fontId="51" fillId="0" borderId="27" xfId="8" applyFont="1" applyBorder="1" applyAlignment="1">
      <alignment horizontal="left" vertical="center" wrapText="1"/>
    </xf>
    <xf numFmtId="0" fontId="51" fillId="0" borderId="28" xfId="8" applyFont="1" applyBorder="1" applyAlignment="1">
      <alignment horizontal="left" vertical="center"/>
    </xf>
    <xf numFmtId="0" fontId="51" fillId="0" borderId="29" xfId="8" applyFont="1" applyBorder="1" applyAlignment="1">
      <alignment horizontal="left" vertical="center"/>
    </xf>
    <xf numFmtId="0" fontId="51" fillId="0" borderId="31" xfId="8" applyFont="1" applyBorder="1" applyAlignment="1">
      <alignment horizontal="left" vertical="center"/>
    </xf>
    <xf numFmtId="0" fontId="51" fillId="0" borderId="8" xfId="8" applyFont="1" applyBorder="1" applyAlignment="1">
      <alignment horizontal="left" vertical="center"/>
    </xf>
    <xf numFmtId="0" fontId="51" fillId="0" borderId="5" xfId="8" applyFont="1" applyBorder="1" applyAlignment="1">
      <alignment horizontal="left" vertical="center"/>
    </xf>
    <xf numFmtId="189" fontId="41" fillId="0" borderId="3" xfId="8" applyNumberFormat="1" applyBorder="1">
      <alignment vertical="center"/>
    </xf>
    <xf numFmtId="189" fontId="41" fillId="0" borderId="4" xfId="8" applyNumberFormat="1" applyBorder="1">
      <alignment vertical="center"/>
    </xf>
    <xf numFmtId="0" fontId="50" fillId="0" borderId="27" xfId="8" applyFont="1" applyBorder="1" applyAlignment="1">
      <alignment vertical="center" shrinkToFit="1"/>
    </xf>
    <xf numFmtId="0" fontId="50" fillId="0" borderId="6" xfId="8" applyFont="1" applyBorder="1" applyAlignment="1">
      <alignment horizontal="center" vertical="center" shrinkToFit="1"/>
    </xf>
    <xf numFmtId="0" fontId="50" fillId="0" borderId="2" xfId="8" applyFont="1" applyBorder="1" applyAlignment="1">
      <alignment horizontal="center" vertical="center" shrinkToFit="1"/>
    </xf>
    <xf numFmtId="0" fontId="41" fillId="0" borderId="6" xfId="8" applyBorder="1" applyAlignment="1">
      <alignment horizontal="center" vertical="center" shrinkToFit="1"/>
    </xf>
    <xf numFmtId="0" fontId="41" fillId="0" borderId="2" xfId="8" applyBorder="1" applyAlignment="1">
      <alignment horizontal="center" vertical="center" shrinkToFit="1"/>
    </xf>
    <xf numFmtId="0" fontId="41" fillId="0" borderId="6" xfId="8" applyBorder="1" applyAlignment="1">
      <alignment horizontal="left" vertical="center"/>
    </xf>
    <xf numFmtId="0" fontId="41" fillId="0" borderId="7" xfId="8" applyBorder="1" applyAlignment="1">
      <alignment horizontal="left" vertical="center"/>
    </xf>
    <xf numFmtId="0" fontId="41" fillId="0" borderId="2" xfId="8" applyBorder="1" applyAlignment="1">
      <alignment horizontal="left" vertical="center"/>
    </xf>
    <xf numFmtId="0" fontId="50" fillId="0" borderId="27" xfId="8" applyFont="1" applyBorder="1" applyAlignment="1">
      <alignment horizontal="left" vertical="center" wrapText="1" shrinkToFit="1"/>
    </xf>
    <xf numFmtId="0" fontId="50" fillId="0" borderId="29" xfId="8" applyFont="1" applyBorder="1" applyAlignment="1">
      <alignment horizontal="left" vertical="center" wrapText="1" shrinkToFit="1"/>
    </xf>
    <xf numFmtId="0" fontId="50" fillId="0" borderId="25" xfId="8" applyFont="1" applyBorder="1" applyAlignment="1">
      <alignment horizontal="left" vertical="center" wrapText="1" shrinkToFit="1"/>
    </xf>
    <xf numFmtId="0" fontId="50" fillId="0" borderId="30" xfId="8" applyFont="1" applyBorder="1" applyAlignment="1">
      <alignment horizontal="left" vertical="center" wrapText="1" shrinkToFit="1"/>
    </xf>
    <xf numFmtId="0" fontId="50" fillId="0" borderId="31" xfId="8" applyFont="1" applyBorder="1" applyAlignment="1">
      <alignment horizontal="left" vertical="center" wrapText="1" shrinkToFit="1"/>
    </xf>
    <xf numFmtId="0" fontId="50" fillId="0" borderId="5" xfId="8" applyFont="1" applyBorder="1" applyAlignment="1">
      <alignment horizontal="left" vertical="center" wrapText="1" shrinkToFit="1"/>
    </xf>
    <xf numFmtId="0" fontId="41" fillId="5" borderId="3" xfId="8" applyFill="1" applyBorder="1" applyAlignment="1">
      <alignment horizontal="center" vertical="center" textRotation="255"/>
    </xf>
    <xf numFmtId="0" fontId="41" fillId="5" borderId="26" xfId="8" applyFill="1" applyBorder="1" applyAlignment="1">
      <alignment horizontal="center" vertical="center" textRotation="255"/>
    </xf>
    <xf numFmtId="0" fontId="41" fillId="5" borderId="4" xfId="8" applyFill="1" applyBorder="1" applyAlignment="1">
      <alignment horizontal="center" vertical="center" textRotation="255"/>
    </xf>
    <xf numFmtId="0" fontId="41" fillId="5" borderId="1" xfId="8" applyFill="1" applyBorder="1" applyAlignment="1">
      <alignment horizontal="center" vertical="center" wrapText="1"/>
    </xf>
    <xf numFmtId="0" fontId="41" fillId="5" borderId="1" xfId="8" applyFill="1" applyBorder="1" applyAlignment="1">
      <alignment horizontal="center" vertical="center"/>
    </xf>
    <xf numFmtId="0" fontId="41" fillId="5" borderId="3" xfId="8" applyFill="1" applyBorder="1" applyAlignment="1">
      <alignment horizontal="center" vertical="center"/>
    </xf>
    <xf numFmtId="0" fontId="41" fillId="5" borderId="26" xfId="8" applyFill="1" applyBorder="1" applyAlignment="1">
      <alignment horizontal="center" vertical="center"/>
    </xf>
    <xf numFmtId="0" fontId="41" fillId="5" borderId="4" xfId="8" applyFill="1" applyBorder="1" applyAlignment="1">
      <alignment horizontal="center" vertical="center"/>
    </xf>
    <xf numFmtId="3" fontId="41" fillId="3" borderId="6" xfId="8" applyNumberFormat="1" applyFill="1" applyBorder="1">
      <alignment vertical="center"/>
    </xf>
    <xf numFmtId="3" fontId="41" fillId="3" borderId="2" xfId="8" applyNumberFormat="1" applyFill="1" applyBorder="1">
      <alignment vertical="center"/>
    </xf>
    <xf numFmtId="0" fontId="41" fillId="5" borderId="27" xfId="8" applyFill="1" applyBorder="1" applyAlignment="1">
      <alignment horizontal="center" vertical="center" wrapText="1"/>
    </xf>
    <xf numFmtId="0" fontId="41" fillId="5" borderId="29" xfId="8" applyFill="1" applyBorder="1" applyAlignment="1">
      <alignment horizontal="center" vertical="center"/>
    </xf>
    <xf numFmtId="0" fontId="41" fillId="5" borderId="25" xfId="8" applyFill="1" applyBorder="1" applyAlignment="1">
      <alignment horizontal="center" vertical="center"/>
    </xf>
    <xf numFmtId="0" fontId="41" fillId="5" borderId="30" xfId="8" applyFill="1" applyBorder="1" applyAlignment="1">
      <alignment horizontal="center" vertical="center"/>
    </xf>
    <xf numFmtId="0" fontId="41" fillId="5" borderId="31" xfId="8" applyFill="1" applyBorder="1" applyAlignment="1">
      <alignment horizontal="center" vertical="center"/>
    </xf>
    <xf numFmtId="0" fontId="41" fillId="5" borderId="5" xfId="8" applyFill="1" applyBorder="1" applyAlignment="1">
      <alignment horizontal="center" vertical="center"/>
    </xf>
    <xf numFmtId="0" fontId="41" fillId="5" borderId="29" xfId="8" applyFill="1" applyBorder="1" applyAlignment="1">
      <alignment horizontal="center" vertical="center" wrapText="1"/>
    </xf>
    <xf numFmtId="0" fontId="41" fillId="5" borderId="25" xfId="8" applyFill="1" applyBorder="1" applyAlignment="1">
      <alignment horizontal="center" vertical="center" wrapText="1"/>
    </xf>
    <xf numFmtId="0" fontId="41" fillId="5" borderId="30" xfId="8" applyFill="1" applyBorder="1" applyAlignment="1">
      <alignment horizontal="center" vertical="center" wrapText="1"/>
    </xf>
    <xf numFmtId="0" fontId="41" fillId="5" borderId="31" xfId="8" applyFill="1" applyBorder="1" applyAlignment="1">
      <alignment horizontal="center" vertical="center" wrapText="1"/>
    </xf>
    <xf numFmtId="0" fontId="41" fillId="5" borderId="5" xfId="8" applyFill="1" applyBorder="1" applyAlignment="1">
      <alignment horizontal="center" vertical="center" wrapText="1"/>
    </xf>
    <xf numFmtId="0" fontId="41" fillId="10" borderId="6" xfId="8" applyFill="1" applyBorder="1">
      <alignment vertical="center"/>
    </xf>
    <xf numFmtId="0" fontId="41" fillId="10" borderId="2" xfId="8" applyFill="1" applyBorder="1">
      <alignment vertical="center"/>
    </xf>
    <xf numFmtId="0" fontId="41" fillId="5" borderId="3" xfId="8" applyFill="1" applyBorder="1">
      <alignment vertical="center"/>
    </xf>
    <xf numFmtId="0" fontId="41" fillId="5" borderId="4" xfId="8" applyFill="1" applyBorder="1">
      <alignment vertical="center"/>
    </xf>
    <xf numFmtId="0" fontId="41" fillId="5" borderId="6" xfId="8" applyFill="1" applyBorder="1">
      <alignment vertical="center"/>
    </xf>
    <xf numFmtId="0" fontId="41" fillId="5" borderId="7" xfId="8" applyFill="1" applyBorder="1">
      <alignment vertical="center"/>
    </xf>
    <xf numFmtId="0" fontId="41" fillId="5" borderId="2" xfId="8" applyFill="1" applyBorder="1">
      <alignment vertical="center"/>
    </xf>
    <xf numFmtId="0" fontId="41" fillId="5" borderId="3" xfId="8" applyFill="1" applyBorder="1" applyAlignment="1">
      <alignment horizontal="left" vertical="center" wrapText="1"/>
    </xf>
    <xf numFmtId="0" fontId="41" fillId="5" borderId="26" xfId="8" applyFill="1" applyBorder="1" applyAlignment="1">
      <alignment horizontal="left" vertical="center" wrapText="1"/>
    </xf>
    <xf numFmtId="0" fontId="41" fillId="5" borderId="4" xfId="8" applyFill="1" applyBorder="1" applyAlignment="1">
      <alignment horizontal="left" vertical="center" wrapText="1"/>
    </xf>
    <xf numFmtId="0" fontId="41" fillId="5" borderId="3" xfId="8" applyFill="1" applyBorder="1" applyAlignment="1">
      <alignment horizontal="left" vertical="center"/>
    </xf>
    <xf numFmtId="0" fontId="41" fillId="5" borderId="26" xfId="8" applyFill="1" applyBorder="1" applyAlignment="1">
      <alignment horizontal="left" vertical="center"/>
    </xf>
    <xf numFmtId="0" fontId="41" fillId="5" borderId="4" xfId="8" applyFill="1" applyBorder="1" applyAlignment="1">
      <alignment horizontal="left" vertical="center"/>
    </xf>
    <xf numFmtId="0" fontId="41" fillId="5" borderId="6" xfId="8" applyFill="1" applyBorder="1" applyAlignment="1">
      <alignment horizontal="center" vertical="center"/>
    </xf>
    <xf numFmtId="0" fontId="41" fillId="5" borderId="7" xfId="8" applyFill="1" applyBorder="1" applyAlignment="1">
      <alignment horizontal="center" vertical="center"/>
    </xf>
    <xf numFmtId="0" fontId="41" fillId="5" borderId="2" xfId="8" applyFill="1" applyBorder="1" applyAlignment="1">
      <alignment horizontal="center" vertical="center"/>
    </xf>
    <xf numFmtId="0" fontId="41" fillId="10" borderId="3" xfId="8" applyFill="1" applyBorder="1" applyAlignment="1">
      <alignment horizontal="center" vertical="center"/>
    </xf>
    <xf numFmtId="0" fontId="41" fillId="10" borderId="26" xfId="8" applyFill="1" applyBorder="1" applyAlignment="1">
      <alignment horizontal="center" vertical="center"/>
    </xf>
    <xf numFmtId="0" fontId="41" fillId="10" borderId="4" xfId="8" applyFill="1" applyBorder="1" applyAlignment="1">
      <alignment horizontal="center" vertical="center"/>
    </xf>
    <xf numFmtId="0" fontId="41" fillId="5" borderId="1" xfId="8" applyFill="1" applyBorder="1">
      <alignment vertical="center"/>
    </xf>
    <xf numFmtId="0" fontId="41" fillId="11" borderId="1" xfId="8" applyFill="1" applyBorder="1">
      <alignment vertical="center"/>
    </xf>
    <xf numFmtId="0" fontId="41" fillId="0" borderId="0" xfId="8" applyAlignment="1">
      <alignment horizontal="center" vertical="center" shrinkToFit="1"/>
    </xf>
    <xf numFmtId="190" fontId="41" fillId="11" borderId="1" xfId="8" applyNumberFormat="1" applyFill="1" applyBorder="1">
      <alignment vertical="center"/>
    </xf>
    <xf numFmtId="176" fontId="41" fillId="10" borderId="1" xfId="8" applyNumberFormat="1" applyFill="1" applyBorder="1">
      <alignment vertical="center"/>
    </xf>
    <xf numFmtId="38" fontId="0" fillId="10" borderId="1" xfId="9" applyFont="1" applyFill="1" applyBorder="1" applyAlignment="1">
      <alignment vertical="center"/>
    </xf>
    <xf numFmtId="0" fontId="41" fillId="10" borderId="1" xfId="8" applyFill="1" applyBorder="1">
      <alignment vertical="center"/>
    </xf>
    <xf numFmtId="0" fontId="41" fillId="5" borderId="1" xfId="8" applyFill="1" applyBorder="1" applyAlignment="1">
      <alignment horizontal="left" vertical="center" shrinkToFit="1"/>
    </xf>
    <xf numFmtId="0" fontId="41" fillId="0" borderId="0" xfId="8">
      <alignment vertical="center"/>
    </xf>
    <xf numFmtId="0" fontId="41" fillId="5" borderId="1" xfId="8" applyFill="1" applyBorder="1" applyAlignment="1">
      <alignment horizontal="center" vertical="center" textRotation="255" wrapText="1" shrinkToFit="1"/>
    </xf>
    <xf numFmtId="0" fontId="41" fillId="5" borderId="1" xfId="8" applyFill="1" applyBorder="1" applyAlignment="1">
      <alignment horizontal="center" vertical="center" textRotation="255" shrinkToFit="1"/>
    </xf>
    <xf numFmtId="189" fontId="41" fillId="3" borderId="6" xfId="8" applyNumberFormat="1" applyFill="1" applyBorder="1">
      <alignment vertical="center"/>
    </xf>
    <xf numFmtId="189" fontId="41" fillId="3" borderId="2" xfId="8" applyNumberFormat="1" applyFill="1" applyBorder="1">
      <alignment vertical="center"/>
    </xf>
    <xf numFmtId="0" fontId="41" fillId="5" borderId="6" xfId="8" applyFill="1" applyBorder="1" applyAlignment="1">
      <alignment horizontal="left" vertical="center" shrinkToFit="1"/>
    </xf>
    <xf numFmtId="0" fontId="41" fillId="5" borderId="2" xfId="8" applyFill="1" applyBorder="1" applyAlignment="1">
      <alignment horizontal="left" vertical="center" shrinkToFit="1"/>
    </xf>
    <xf numFmtId="3" fontId="41" fillId="4" borderId="6" xfId="8" applyNumberFormat="1" applyFill="1" applyBorder="1">
      <alignment vertical="center"/>
    </xf>
    <xf numFmtId="3" fontId="41" fillId="4" borderId="2" xfId="8" applyNumberFormat="1" applyFill="1" applyBorder="1">
      <alignment vertical="center"/>
    </xf>
    <xf numFmtId="0" fontId="45" fillId="0" borderId="0" xfId="8" applyFont="1" applyAlignment="1">
      <alignment vertical="top" wrapText="1"/>
    </xf>
    <xf numFmtId="0" fontId="41" fillId="5" borderId="27" xfId="8" applyFill="1" applyBorder="1">
      <alignment vertical="center"/>
    </xf>
    <xf numFmtId="0" fontId="41" fillId="5" borderId="29" xfId="8" applyFill="1" applyBorder="1">
      <alignment vertical="center"/>
    </xf>
    <xf numFmtId="0" fontId="41" fillId="5" borderId="31" xfId="8" applyFill="1" applyBorder="1">
      <alignment vertical="center"/>
    </xf>
    <xf numFmtId="0" fontId="41" fillId="5" borderId="5" xfId="8" applyFill="1" applyBorder="1">
      <alignment vertical="center"/>
    </xf>
  </cellXfs>
  <cellStyles count="10">
    <cellStyle name="パーセント" xfId="3" builtinId="5"/>
    <cellStyle name="パーセント 2" xfId="7" xr:uid="{B026AC6A-0C10-4DD3-A251-6ED3DBA882FF}"/>
    <cellStyle name="ハイパーリンク" xfId="2" builtinId="8"/>
    <cellStyle name="桁区切り" xfId="1" builtinId="6"/>
    <cellStyle name="桁区切り 2" xfId="6" xr:uid="{6ACB5211-24A8-4D72-926F-503159D4E6DA}"/>
    <cellStyle name="桁区切り 3" xfId="9" xr:uid="{A107E39B-E96C-4494-86E1-AF2C0FCB089B}"/>
    <cellStyle name="標準" xfId="0" builtinId="0"/>
    <cellStyle name="標準 2" xfId="4" xr:uid="{0401D4CB-901E-4E39-99C6-1776EEF582DD}"/>
    <cellStyle name="標準 3" xfId="5" xr:uid="{B2575FB9-BB66-42D9-BE40-2A9BB77CD9B3}"/>
    <cellStyle name="標準 4" xfId="8" xr:uid="{8B66CFDE-04CC-4FC9-9B52-8CE2102851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ツール入力シート!$C$78</c:f>
              <c:strCache>
                <c:ptCount val="1"/>
                <c:pt idx="0">
                  <c:v>処理水量当たりの
温室効果ガス排出量
(t-CO₂/千m³)</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ツール入力シート!$B$79:$B$82</c:f>
              <c:strCache>
                <c:ptCount val="4"/>
                <c:pt idx="0">
                  <c:v>2013年実績値</c:v>
                </c:pt>
                <c:pt idx="1">
                  <c:v>2018年実績値</c:v>
                </c:pt>
                <c:pt idx="2">
                  <c:v>2018年標準値</c:v>
                </c:pt>
                <c:pt idx="3">
                  <c:v>2030年目標値(目安)</c:v>
                </c:pt>
              </c:strCache>
            </c:strRef>
          </c:cat>
          <c:val>
            <c:numRef>
              <c:f>ツール入力シート!$C$79:$C$82</c:f>
              <c:numCache>
                <c:formatCode>0.00</c:formatCode>
                <c:ptCount val="4"/>
                <c:pt idx="0">
                  <c:v>0</c:v>
                </c:pt>
                <c:pt idx="1">
                  <c:v>0</c:v>
                </c:pt>
                <c:pt idx="2">
                  <c:v>#N/A</c:v>
                </c:pt>
                <c:pt idx="3">
                  <c:v>0</c:v>
                </c:pt>
              </c:numCache>
            </c:numRef>
          </c:val>
          <c:extLst>
            <c:ext xmlns:c16="http://schemas.microsoft.com/office/drawing/2014/chart" uri="{C3380CC4-5D6E-409C-BE32-E72D297353CC}">
              <c16:uniqueId val="{00000000-FCE4-4571-914D-F192C7090CD3}"/>
            </c:ext>
          </c:extLst>
        </c:ser>
        <c:dLbls>
          <c:dLblPos val="ctr"/>
          <c:showLegendKey val="0"/>
          <c:showVal val="1"/>
          <c:showCatName val="0"/>
          <c:showSerName val="0"/>
          <c:showPercent val="0"/>
          <c:showBubbleSize val="0"/>
        </c:dLbls>
        <c:gapWidth val="219"/>
        <c:overlap val="-27"/>
        <c:axId val="665170920"/>
        <c:axId val="665165344"/>
        <c:extLst/>
      </c:barChart>
      <c:catAx>
        <c:axId val="665170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ja-JP"/>
          </a:p>
        </c:txPr>
        <c:crossAx val="665165344"/>
        <c:crosses val="autoZero"/>
        <c:auto val="1"/>
        <c:lblAlgn val="ctr"/>
        <c:lblOffset val="100"/>
        <c:noMultiLvlLbl val="0"/>
      </c:catAx>
      <c:valAx>
        <c:axId val="665165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ja-JP" altLang="ja-JP" sz="1400" b="1" i="0" baseline="0">
                    <a:effectLst/>
                  </a:rPr>
                  <a:t>処理水量当たりの温室効果ガス排出量</a:t>
                </a:r>
                <a:endParaRPr lang="en-US" altLang="ja-JP" sz="1400" b="1" i="0" baseline="0">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n-US" altLang="ja-JP" sz="1400" b="1" i="0" baseline="0">
                    <a:effectLst/>
                  </a:rPr>
                  <a:t>(t-CO₂/</a:t>
                </a:r>
                <a:r>
                  <a:rPr lang="ja-JP" altLang="en-US" sz="1400" b="1" i="0" baseline="0">
                    <a:effectLst/>
                  </a:rPr>
                  <a:t>千</a:t>
                </a:r>
                <a:r>
                  <a:rPr lang="en-US" altLang="ja-JP" sz="1400" b="1" i="0" baseline="0">
                    <a:effectLst/>
                  </a:rPr>
                  <a:t>m³)</a:t>
                </a:r>
                <a:endParaRPr lang="ja-JP" altLang="ja-JP"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ja-JP" alt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ja-JP"/>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ja-JP"/>
          </a:p>
        </c:txPr>
        <c:crossAx val="665170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ツール入力シート!$E$78</c:f>
              <c:strCache>
                <c:ptCount val="1"/>
                <c:pt idx="0">
                  <c:v>温室効果ガス排出量
(t-CO₂/年)</c:v>
                </c:pt>
              </c:strCache>
            </c:strRef>
          </c:tx>
          <c:spPr>
            <a:solidFill>
              <a:schemeClr val="accent2"/>
            </a:solidFill>
            <a:ln>
              <a:noFill/>
            </a:ln>
            <a:effectLst/>
          </c:spPr>
          <c:invertIfNegative val="0"/>
          <c:dLbls>
            <c:dLbl>
              <c:idx val="2"/>
              <c:numFmt formatCode="#,##0_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154B-4C47-810F-EAB023740359}"/>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ツール入力シート!$B$79:$B$82</c:f>
              <c:strCache>
                <c:ptCount val="4"/>
                <c:pt idx="0">
                  <c:v>2013年実績値</c:v>
                </c:pt>
                <c:pt idx="1">
                  <c:v>2018年実績値</c:v>
                </c:pt>
                <c:pt idx="2">
                  <c:v>2018年標準値</c:v>
                </c:pt>
                <c:pt idx="3">
                  <c:v>2030年目標値(目安)</c:v>
                </c:pt>
              </c:strCache>
            </c:strRef>
          </c:cat>
          <c:val>
            <c:numRef>
              <c:f>ツール入力シート!$E$79:$E$82</c:f>
              <c:numCache>
                <c:formatCode>#,##0_);[Red]\(#,##0\)</c:formatCode>
                <c:ptCount val="4"/>
                <c:pt idx="0">
                  <c:v>0</c:v>
                </c:pt>
                <c:pt idx="1">
                  <c:v>0</c:v>
                </c:pt>
                <c:pt idx="2">
                  <c:v>#N/A</c:v>
                </c:pt>
                <c:pt idx="3">
                  <c:v>0</c:v>
                </c:pt>
              </c:numCache>
            </c:numRef>
          </c:val>
          <c:extLst>
            <c:ext xmlns:c16="http://schemas.microsoft.com/office/drawing/2014/chart" uri="{C3380CC4-5D6E-409C-BE32-E72D297353CC}">
              <c16:uniqueId val="{00000000-50C0-4803-A0A0-CE6E67EB047F}"/>
            </c:ext>
          </c:extLst>
        </c:ser>
        <c:dLbls>
          <c:dLblPos val="ctr"/>
          <c:showLegendKey val="0"/>
          <c:showVal val="1"/>
          <c:showCatName val="0"/>
          <c:showSerName val="0"/>
          <c:showPercent val="0"/>
          <c:showBubbleSize val="0"/>
        </c:dLbls>
        <c:gapWidth val="219"/>
        <c:overlap val="-27"/>
        <c:axId val="665170920"/>
        <c:axId val="665165344"/>
        <c:extLst/>
      </c:barChart>
      <c:catAx>
        <c:axId val="665170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ja-JP"/>
          </a:p>
        </c:txPr>
        <c:crossAx val="665165344"/>
        <c:crosses val="autoZero"/>
        <c:auto val="1"/>
        <c:lblAlgn val="ctr"/>
        <c:lblOffset val="100"/>
        <c:noMultiLvlLbl val="0"/>
      </c:catAx>
      <c:valAx>
        <c:axId val="665165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ja-JP" altLang="ja-JP" sz="1400" b="1" i="0" baseline="0">
                    <a:effectLst/>
                  </a:rPr>
                  <a:t>温室効果ガス排出量</a:t>
                </a:r>
                <a:endParaRPr lang="en-US" altLang="ja-JP" sz="1400" b="1" i="0" baseline="0">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n-US" altLang="ja-JP" sz="1400" b="1" i="0" baseline="0">
                    <a:effectLst/>
                  </a:rPr>
                  <a:t>(t-CO₂/</a:t>
                </a:r>
                <a:r>
                  <a:rPr lang="ja-JP" altLang="en-US" sz="1400" b="1" i="0" baseline="0">
                    <a:effectLst/>
                  </a:rPr>
                  <a:t>年</a:t>
                </a:r>
                <a:r>
                  <a:rPr lang="en-US" altLang="ja-JP" sz="1400" b="1" i="0" baseline="0">
                    <a:effectLst/>
                  </a:rPr>
                  <a:t>)</a:t>
                </a:r>
                <a:endParaRPr lang="ja-JP" altLang="ja-JP"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ja-JP" alt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ja-JP"/>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ja-JP"/>
          </a:p>
        </c:txPr>
        <c:crossAx val="665170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対策後の結果の出力!$C$3</c:f>
              <c:strCache>
                <c:ptCount val="1"/>
                <c:pt idx="0">
                  <c:v>処理水量当たりの
温室効果ガス排出量
(t-CO₂/千m³)</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対策後の結果の出力!$B$4:$B$8</c:f>
              <c:strCache>
                <c:ptCount val="5"/>
                <c:pt idx="0">
                  <c:v>2013年実績値</c:v>
                </c:pt>
                <c:pt idx="1">
                  <c:v>2018年実績値</c:v>
                </c:pt>
                <c:pt idx="2">
                  <c:v>2018年標準値</c:v>
                </c:pt>
                <c:pt idx="3">
                  <c:v>2030年目標値(目安)</c:v>
                </c:pt>
                <c:pt idx="4">
                  <c:v>対策後の排出量</c:v>
                </c:pt>
              </c:strCache>
            </c:strRef>
          </c:cat>
          <c:val>
            <c:numRef>
              <c:f>対策後の結果の出力!$C$4:$C$8</c:f>
              <c:numCache>
                <c:formatCode>0.00</c:formatCode>
                <c:ptCount val="5"/>
                <c:pt idx="0">
                  <c:v>0</c:v>
                </c:pt>
                <c:pt idx="1">
                  <c:v>0</c:v>
                </c:pt>
                <c:pt idx="2">
                  <c:v>#N/A</c:v>
                </c:pt>
                <c:pt idx="3">
                  <c:v>0</c:v>
                </c:pt>
                <c:pt idx="4">
                  <c:v>0</c:v>
                </c:pt>
              </c:numCache>
            </c:numRef>
          </c:val>
          <c:extLst>
            <c:ext xmlns:c16="http://schemas.microsoft.com/office/drawing/2014/chart" uri="{C3380CC4-5D6E-409C-BE32-E72D297353CC}">
              <c16:uniqueId val="{00000000-1829-4B70-9D0B-2A26FFCA5A61}"/>
            </c:ext>
          </c:extLst>
        </c:ser>
        <c:dLbls>
          <c:dLblPos val="ctr"/>
          <c:showLegendKey val="0"/>
          <c:showVal val="1"/>
          <c:showCatName val="0"/>
          <c:showSerName val="0"/>
          <c:showPercent val="0"/>
          <c:showBubbleSize val="0"/>
        </c:dLbls>
        <c:gapWidth val="219"/>
        <c:overlap val="-27"/>
        <c:axId val="665170920"/>
        <c:axId val="665165344"/>
        <c:extLst/>
      </c:barChart>
      <c:catAx>
        <c:axId val="665170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ja-JP"/>
          </a:p>
        </c:txPr>
        <c:crossAx val="665165344"/>
        <c:crosses val="autoZero"/>
        <c:auto val="1"/>
        <c:lblAlgn val="ctr"/>
        <c:lblOffset val="100"/>
        <c:noMultiLvlLbl val="0"/>
      </c:catAx>
      <c:valAx>
        <c:axId val="665165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ja-JP" altLang="ja-JP" sz="1400" b="1" i="0" baseline="0">
                    <a:effectLst/>
                  </a:rPr>
                  <a:t>処理水量当たりの温室効果ガス排出量</a:t>
                </a:r>
                <a:endParaRPr lang="en-US" altLang="ja-JP" sz="1400" b="1" i="0" baseline="0">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n-US" altLang="ja-JP" sz="1400" b="1" i="0" baseline="0">
                    <a:effectLst/>
                  </a:rPr>
                  <a:t>(t-CO₂/</a:t>
                </a:r>
                <a:r>
                  <a:rPr lang="ja-JP" altLang="en-US" sz="1400" b="1" i="0" baseline="0">
                    <a:effectLst/>
                  </a:rPr>
                  <a:t>千</a:t>
                </a:r>
                <a:r>
                  <a:rPr lang="en-US" altLang="ja-JP" sz="1400" b="1" i="0" baseline="0">
                    <a:effectLst/>
                  </a:rPr>
                  <a:t>m³)</a:t>
                </a:r>
                <a:endParaRPr lang="ja-JP" altLang="ja-JP"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ja-JP" alt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ja-JP"/>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ja-JP"/>
          </a:p>
        </c:txPr>
        <c:crossAx val="665170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対策後の結果の出力!$D$3</c:f>
              <c:strCache>
                <c:ptCount val="1"/>
                <c:pt idx="0">
                  <c:v>温室効果ガス排出量
(t-CO₂/年)</c:v>
                </c:pt>
              </c:strCache>
            </c:strRef>
          </c:tx>
          <c:spPr>
            <a:solidFill>
              <a:schemeClr val="accent2"/>
            </a:solidFill>
            <a:ln>
              <a:noFill/>
            </a:ln>
            <a:effectLst/>
          </c:spPr>
          <c:invertIfNegative val="0"/>
          <c:dLbls>
            <c:dLbl>
              <c:idx val="2"/>
              <c:numFmt formatCode="#,##0_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AACD-4F6B-A449-6C757DAD1DB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対策後の結果の出力!$B$4:$B$8</c:f>
              <c:strCache>
                <c:ptCount val="5"/>
                <c:pt idx="0">
                  <c:v>2013年実績値</c:v>
                </c:pt>
                <c:pt idx="1">
                  <c:v>2018年実績値</c:v>
                </c:pt>
                <c:pt idx="2">
                  <c:v>2018年標準値</c:v>
                </c:pt>
                <c:pt idx="3">
                  <c:v>2030年目標値(目安)</c:v>
                </c:pt>
                <c:pt idx="4">
                  <c:v>対策後の排出量</c:v>
                </c:pt>
              </c:strCache>
            </c:strRef>
          </c:cat>
          <c:val>
            <c:numRef>
              <c:f>対策後の結果の出力!$D$4:$D$8</c:f>
              <c:numCache>
                <c:formatCode>#,##0_);[Red]\(#,##0\)</c:formatCode>
                <c:ptCount val="5"/>
                <c:pt idx="0">
                  <c:v>0</c:v>
                </c:pt>
                <c:pt idx="1">
                  <c:v>0</c:v>
                </c:pt>
                <c:pt idx="2">
                  <c:v>#N/A</c:v>
                </c:pt>
                <c:pt idx="3">
                  <c:v>0</c:v>
                </c:pt>
                <c:pt idx="4">
                  <c:v>0</c:v>
                </c:pt>
              </c:numCache>
            </c:numRef>
          </c:val>
          <c:extLst>
            <c:ext xmlns:c16="http://schemas.microsoft.com/office/drawing/2014/chart" uri="{C3380CC4-5D6E-409C-BE32-E72D297353CC}">
              <c16:uniqueId val="{00000000-4615-4C12-9BA1-AF6E7B19E8AC}"/>
            </c:ext>
          </c:extLst>
        </c:ser>
        <c:dLbls>
          <c:dLblPos val="ctr"/>
          <c:showLegendKey val="0"/>
          <c:showVal val="1"/>
          <c:showCatName val="0"/>
          <c:showSerName val="0"/>
          <c:showPercent val="0"/>
          <c:showBubbleSize val="0"/>
        </c:dLbls>
        <c:gapWidth val="219"/>
        <c:overlap val="-27"/>
        <c:axId val="665170920"/>
        <c:axId val="665165344"/>
        <c:extLst/>
      </c:barChart>
      <c:catAx>
        <c:axId val="665170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ja-JP"/>
          </a:p>
        </c:txPr>
        <c:crossAx val="665165344"/>
        <c:crosses val="autoZero"/>
        <c:auto val="1"/>
        <c:lblAlgn val="ctr"/>
        <c:lblOffset val="100"/>
        <c:noMultiLvlLbl val="0"/>
      </c:catAx>
      <c:valAx>
        <c:axId val="665165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ja-JP" altLang="ja-JP" sz="1400" b="1" i="0" baseline="0">
                    <a:effectLst/>
                  </a:rPr>
                  <a:t>温室効果ガス排出量</a:t>
                </a:r>
                <a:endParaRPr lang="en-US" altLang="ja-JP" sz="1400" b="1" i="0" baseline="0">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n-US" altLang="ja-JP" sz="1400" b="1" i="0" baseline="0">
                    <a:effectLst/>
                  </a:rPr>
                  <a:t>(t-CO₂/</a:t>
                </a:r>
                <a:r>
                  <a:rPr lang="ja-JP" altLang="en-US" sz="1400" b="1" i="0" baseline="0">
                    <a:effectLst/>
                  </a:rPr>
                  <a:t>年</a:t>
                </a:r>
                <a:r>
                  <a:rPr lang="en-US" altLang="ja-JP" sz="1400" b="1" i="0" baseline="0">
                    <a:effectLst/>
                  </a:rPr>
                  <a:t>)</a:t>
                </a:r>
                <a:endParaRPr lang="ja-JP" altLang="ja-JP"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ja-JP" alt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ja-JP"/>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ja-JP"/>
          </a:p>
        </c:txPr>
        <c:crossAx val="665170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0</xdr:colOff>
      <xdr:row>85</xdr:row>
      <xdr:rowOff>40822</xdr:rowOff>
    </xdr:from>
    <xdr:to>
      <xdr:col>8</xdr:col>
      <xdr:colOff>638736</xdr:colOff>
      <xdr:row>107</xdr:row>
      <xdr:rowOff>235400</xdr:rowOff>
    </xdr:to>
    <xdr:grpSp>
      <xdr:nvGrpSpPr>
        <xdr:cNvPr id="12" name="グループ化 11">
          <a:extLst>
            <a:ext uri="{FF2B5EF4-FFF2-40B4-BE49-F238E27FC236}">
              <a16:creationId xmlns:a16="http://schemas.microsoft.com/office/drawing/2014/main" id="{56B08FE6-98E7-154D-F2FD-F1A39144717B}"/>
            </a:ext>
          </a:extLst>
        </xdr:cNvPr>
        <xdr:cNvGrpSpPr/>
      </xdr:nvGrpSpPr>
      <xdr:grpSpPr>
        <a:xfrm>
          <a:off x="666750" y="24166286"/>
          <a:ext cx="10243474" cy="5276030"/>
          <a:chOff x="680357" y="25091572"/>
          <a:chExt cx="10245379" cy="5583007"/>
        </a:xfrm>
      </xdr:grpSpPr>
      <xdr:grpSp>
        <xdr:nvGrpSpPr>
          <xdr:cNvPr id="8" name="グループ化 7">
            <a:extLst>
              <a:ext uri="{FF2B5EF4-FFF2-40B4-BE49-F238E27FC236}">
                <a16:creationId xmlns:a16="http://schemas.microsoft.com/office/drawing/2014/main" id="{1059D700-9F18-CD6F-8DC4-D97953AFE5E6}"/>
              </a:ext>
            </a:extLst>
          </xdr:cNvPr>
          <xdr:cNvGrpSpPr/>
        </xdr:nvGrpSpPr>
        <xdr:grpSpPr>
          <a:xfrm>
            <a:off x="680357" y="25664325"/>
            <a:ext cx="10245379" cy="5010254"/>
            <a:chOff x="683559" y="18368681"/>
            <a:chExt cx="10711232" cy="4816290"/>
          </a:xfrm>
        </xdr:grpSpPr>
        <xdr:graphicFrame macro="">
          <xdr:nvGraphicFramePr>
            <xdr:cNvPr id="4" name="グラフ 3">
              <a:extLst>
                <a:ext uri="{FF2B5EF4-FFF2-40B4-BE49-F238E27FC236}">
                  <a16:creationId xmlns:a16="http://schemas.microsoft.com/office/drawing/2014/main" id="{D1187ABE-90F4-FB28-910A-1BA7FE09E11B}"/>
                </a:ext>
              </a:extLst>
            </xdr:cNvPr>
            <xdr:cNvGraphicFramePr/>
          </xdr:nvGraphicFramePr>
          <xdr:xfrm>
            <a:off x="683559" y="18939062"/>
            <a:ext cx="10006853" cy="424590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吹き出し: 角を丸めた四角形 4">
              <a:extLst>
                <a:ext uri="{FF2B5EF4-FFF2-40B4-BE49-F238E27FC236}">
                  <a16:creationId xmlns:a16="http://schemas.microsoft.com/office/drawing/2014/main" id="{6EB538C2-14C7-B1CC-06F6-CCA74FB6A452}"/>
                </a:ext>
              </a:extLst>
            </xdr:cNvPr>
            <xdr:cNvSpPr/>
          </xdr:nvSpPr>
          <xdr:spPr>
            <a:xfrm>
              <a:off x="4560795" y="18435493"/>
              <a:ext cx="2028264" cy="751954"/>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b="1">
                  <a:solidFill>
                    <a:sysClr val="windowText" lastClr="000000"/>
                  </a:solidFill>
                </a:rPr>
                <a:t>2013</a:t>
              </a:r>
              <a:r>
                <a:rPr kumimoji="1" lang="ja-JP" altLang="en-US" sz="1200" b="1">
                  <a:solidFill>
                    <a:sysClr val="windowText" lastClr="000000"/>
                  </a:solidFill>
                </a:rPr>
                <a:t>年からの進歩</a:t>
              </a:r>
              <a:endParaRPr kumimoji="1" lang="en-US" altLang="ja-JP" sz="1200" b="1">
                <a:solidFill>
                  <a:sysClr val="windowText" lastClr="000000"/>
                </a:solidFill>
              </a:endParaRPr>
            </a:p>
          </xdr:txBody>
        </xdr:sp>
        <xdr:sp macro="" textlink="">
          <xdr:nvSpPr>
            <xdr:cNvPr id="6" name="吹き出し: 角を丸めた四角形 5">
              <a:extLst>
                <a:ext uri="{FF2B5EF4-FFF2-40B4-BE49-F238E27FC236}">
                  <a16:creationId xmlns:a16="http://schemas.microsoft.com/office/drawing/2014/main" id="{731BC6B4-7BE1-401C-AEDF-45549477C661}"/>
                </a:ext>
              </a:extLst>
            </xdr:cNvPr>
            <xdr:cNvSpPr/>
          </xdr:nvSpPr>
          <xdr:spPr>
            <a:xfrm>
              <a:off x="6663018" y="18429193"/>
              <a:ext cx="2082895" cy="739589"/>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ysClr val="windowText" lastClr="000000"/>
                  </a:solidFill>
                </a:rPr>
                <a:t>全国と比較するときの</a:t>
              </a:r>
              <a:endParaRPr kumimoji="1" lang="en-US" altLang="ja-JP" sz="1200" b="1">
                <a:solidFill>
                  <a:sysClr val="windowText" lastClr="000000"/>
                </a:solidFill>
              </a:endParaRPr>
            </a:p>
            <a:p>
              <a:pPr algn="l"/>
              <a:r>
                <a:rPr kumimoji="1" lang="ja-JP" altLang="en-US" sz="1200" b="1">
                  <a:solidFill>
                    <a:sysClr val="windowText" lastClr="000000"/>
                  </a:solidFill>
                </a:rPr>
                <a:t>基準</a:t>
              </a:r>
            </a:p>
          </xdr:txBody>
        </xdr:sp>
        <xdr:sp macro="" textlink="">
          <xdr:nvSpPr>
            <xdr:cNvPr id="7" name="吹き出し: 角を丸めた四角形 6">
              <a:extLst>
                <a:ext uri="{FF2B5EF4-FFF2-40B4-BE49-F238E27FC236}">
                  <a16:creationId xmlns:a16="http://schemas.microsoft.com/office/drawing/2014/main" id="{45C29E1E-E53A-46E2-BB86-3E658C36DE6B}"/>
                </a:ext>
              </a:extLst>
            </xdr:cNvPr>
            <xdr:cNvSpPr/>
          </xdr:nvSpPr>
          <xdr:spPr>
            <a:xfrm>
              <a:off x="8810066" y="18368681"/>
              <a:ext cx="2584725" cy="1275230"/>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b="1">
                  <a:solidFill>
                    <a:sysClr val="windowText" lastClr="000000"/>
                  </a:solidFill>
                </a:rPr>
                <a:t>2013</a:t>
              </a:r>
              <a:r>
                <a:rPr kumimoji="1" lang="ja-JP" altLang="en-US" sz="1200" b="1">
                  <a:solidFill>
                    <a:sysClr val="windowText" lastClr="000000"/>
                  </a:solidFill>
                </a:rPr>
                <a:t>年実績から年率</a:t>
              </a:r>
              <a:r>
                <a:rPr kumimoji="1" lang="en-US" altLang="ja-JP" sz="1200" b="1">
                  <a:solidFill>
                    <a:sysClr val="windowText" lastClr="000000"/>
                  </a:solidFill>
                </a:rPr>
                <a:t>2%</a:t>
              </a:r>
              <a:r>
                <a:rPr kumimoji="1" lang="ja-JP" altLang="en-US" sz="1200" b="1">
                  <a:solidFill>
                    <a:sysClr val="windowText" lastClr="000000"/>
                  </a:solidFill>
                </a:rPr>
                <a:t>を</a:t>
              </a:r>
              <a:endParaRPr kumimoji="1" lang="en-US" altLang="ja-JP" sz="1200" b="1">
                <a:solidFill>
                  <a:sysClr val="windowText" lastClr="000000"/>
                </a:solidFill>
              </a:endParaRPr>
            </a:p>
            <a:p>
              <a:pPr algn="l"/>
              <a:r>
                <a:rPr kumimoji="1" lang="ja-JP" altLang="en-US" sz="1200" b="1">
                  <a:solidFill>
                    <a:sysClr val="windowText" lastClr="000000"/>
                  </a:solidFill>
                </a:rPr>
                <a:t>掛けて算出</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本省目標である</a:t>
              </a:r>
              <a:r>
                <a:rPr kumimoji="1" lang="en-US" altLang="ja-JP" sz="1200" b="1">
                  <a:solidFill>
                    <a:sysClr val="windowText" lastClr="000000"/>
                  </a:solidFill>
                </a:rPr>
                <a:t>60</a:t>
              </a:r>
              <a:r>
                <a:rPr kumimoji="1" lang="ja-JP" altLang="en-US" sz="1200" b="1">
                  <a:solidFill>
                    <a:sysClr val="windowText" lastClr="000000"/>
                  </a:solidFill>
                </a:rPr>
                <a:t>万</a:t>
              </a:r>
              <a:r>
                <a:rPr kumimoji="1" lang="en-US" altLang="ja-JP" sz="1200" b="1">
                  <a:solidFill>
                    <a:sysClr val="windowText" lastClr="000000"/>
                  </a:solidFill>
                </a:rPr>
                <a:t>-CO</a:t>
              </a:r>
              <a:r>
                <a:rPr kumimoji="1" lang="ja-JP" altLang="en-US" sz="1200" b="1">
                  <a:solidFill>
                    <a:sysClr val="windowText" lastClr="000000"/>
                  </a:solidFill>
                </a:rPr>
                <a:t>₂削減に対応する値</a:t>
              </a:r>
              <a:r>
                <a:rPr kumimoji="1" lang="en-US" altLang="ja-JP" sz="1200" b="1">
                  <a:solidFill>
                    <a:sysClr val="windowText" lastClr="000000"/>
                  </a:solidFill>
                </a:rPr>
                <a:t>)</a:t>
              </a:r>
              <a:endParaRPr kumimoji="1" lang="ja-JP" altLang="en-US" sz="1200" b="1">
                <a:solidFill>
                  <a:sysClr val="windowText" lastClr="000000"/>
                </a:solidFill>
              </a:endParaRPr>
            </a:p>
          </xdr:txBody>
        </xdr:sp>
      </xdr:grpSp>
      <xdr:sp macro="" textlink="">
        <xdr:nvSpPr>
          <xdr:cNvPr id="10" name="テキスト ボックス 9">
            <a:extLst>
              <a:ext uri="{FF2B5EF4-FFF2-40B4-BE49-F238E27FC236}">
                <a16:creationId xmlns:a16="http://schemas.microsoft.com/office/drawing/2014/main" id="{502F960E-9690-B6CE-BD51-AA923508D8B2}"/>
              </a:ext>
            </a:extLst>
          </xdr:cNvPr>
          <xdr:cNvSpPr txBox="1"/>
        </xdr:nvSpPr>
        <xdr:spPr>
          <a:xfrm>
            <a:off x="4109358" y="25091572"/>
            <a:ext cx="2735034" cy="4259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a:t>排出量原単位での比較</a:t>
            </a:r>
          </a:p>
        </xdr:txBody>
      </xdr:sp>
    </xdr:grpSp>
    <xdr:clientData/>
  </xdr:twoCellAnchor>
  <xdr:twoCellAnchor>
    <xdr:from>
      <xdr:col>9</xdr:col>
      <xdr:colOff>0</xdr:colOff>
      <xdr:row>85</xdr:row>
      <xdr:rowOff>40821</xdr:rowOff>
    </xdr:from>
    <xdr:to>
      <xdr:col>21</xdr:col>
      <xdr:colOff>280149</xdr:colOff>
      <xdr:row>108</xdr:row>
      <xdr:rowOff>0</xdr:rowOff>
    </xdr:to>
    <xdr:grpSp>
      <xdr:nvGrpSpPr>
        <xdr:cNvPr id="13" name="グループ化 12">
          <a:extLst>
            <a:ext uri="{FF2B5EF4-FFF2-40B4-BE49-F238E27FC236}">
              <a16:creationId xmlns:a16="http://schemas.microsoft.com/office/drawing/2014/main" id="{37679766-831B-C295-D486-91C4E1C474A0}"/>
            </a:ext>
          </a:extLst>
        </xdr:cNvPr>
        <xdr:cNvGrpSpPr/>
      </xdr:nvGrpSpPr>
      <xdr:grpSpPr>
        <a:xfrm>
          <a:off x="11089821" y="24166285"/>
          <a:ext cx="9128602" cy="5279572"/>
          <a:chOff x="11103429" y="25091571"/>
          <a:chExt cx="9260863" cy="5592536"/>
        </a:xfrm>
      </xdr:grpSpPr>
      <xdr:grpSp>
        <xdr:nvGrpSpPr>
          <xdr:cNvPr id="22" name="グループ化 21">
            <a:extLst>
              <a:ext uri="{FF2B5EF4-FFF2-40B4-BE49-F238E27FC236}">
                <a16:creationId xmlns:a16="http://schemas.microsoft.com/office/drawing/2014/main" id="{72B37A60-C8F0-4A2E-B8D2-29FA8B694ACF}"/>
              </a:ext>
            </a:extLst>
          </xdr:cNvPr>
          <xdr:cNvGrpSpPr/>
        </xdr:nvGrpSpPr>
        <xdr:grpSpPr>
          <a:xfrm>
            <a:off x="11103429" y="25652665"/>
            <a:ext cx="9260863" cy="5031442"/>
            <a:chOff x="747852" y="18368681"/>
            <a:chExt cx="10646939" cy="4829737"/>
          </a:xfrm>
        </xdr:grpSpPr>
        <xdr:graphicFrame macro="">
          <xdr:nvGraphicFramePr>
            <xdr:cNvPr id="23" name="グラフ 22">
              <a:extLst>
                <a:ext uri="{FF2B5EF4-FFF2-40B4-BE49-F238E27FC236}">
                  <a16:creationId xmlns:a16="http://schemas.microsoft.com/office/drawing/2014/main" id="{8968E656-7C1F-EE35-FB03-35A2C3E15335}"/>
                </a:ext>
              </a:extLst>
            </xdr:cNvPr>
            <xdr:cNvGraphicFramePr/>
          </xdr:nvGraphicFramePr>
          <xdr:xfrm>
            <a:off x="747852" y="18952509"/>
            <a:ext cx="10006853" cy="4245909"/>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4" name="吹き出し: 角を丸めた四角形 23">
              <a:extLst>
                <a:ext uri="{FF2B5EF4-FFF2-40B4-BE49-F238E27FC236}">
                  <a16:creationId xmlns:a16="http://schemas.microsoft.com/office/drawing/2014/main" id="{88C7BF0E-AAC6-EB18-C49C-2F8988AB5C5E}"/>
                </a:ext>
              </a:extLst>
            </xdr:cNvPr>
            <xdr:cNvSpPr/>
          </xdr:nvSpPr>
          <xdr:spPr>
            <a:xfrm>
              <a:off x="4607725" y="18433676"/>
              <a:ext cx="2028264" cy="750794"/>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b="1">
                  <a:solidFill>
                    <a:sysClr val="windowText" lastClr="000000"/>
                  </a:solidFill>
                </a:rPr>
                <a:t>2013</a:t>
              </a:r>
              <a:r>
                <a:rPr kumimoji="1" lang="ja-JP" altLang="en-US" sz="1200" b="1">
                  <a:solidFill>
                    <a:sysClr val="windowText" lastClr="000000"/>
                  </a:solidFill>
                </a:rPr>
                <a:t>年からの進歩</a:t>
              </a:r>
              <a:endParaRPr kumimoji="1" lang="en-US" altLang="ja-JP" sz="1200" b="1">
                <a:solidFill>
                  <a:sysClr val="windowText" lastClr="000000"/>
                </a:solidFill>
              </a:endParaRPr>
            </a:p>
          </xdr:txBody>
        </xdr:sp>
        <xdr:sp macro="" textlink="">
          <xdr:nvSpPr>
            <xdr:cNvPr id="25" name="吹き出し: 角を丸めた四角形 24">
              <a:extLst>
                <a:ext uri="{FF2B5EF4-FFF2-40B4-BE49-F238E27FC236}">
                  <a16:creationId xmlns:a16="http://schemas.microsoft.com/office/drawing/2014/main" id="{EEC2D398-38F6-469F-1436-AD4FBF25EBAA}"/>
                </a:ext>
              </a:extLst>
            </xdr:cNvPr>
            <xdr:cNvSpPr/>
          </xdr:nvSpPr>
          <xdr:spPr>
            <a:xfrm>
              <a:off x="6663018" y="18429193"/>
              <a:ext cx="2082895" cy="739589"/>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ysClr val="windowText" lastClr="000000"/>
                  </a:solidFill>
                </a:rPr>
                <a:t>全国と比較するときの</a:t>
              </a:r>
              <a:endParaRPr kumimoji="1" lang="en-US" altLang="ja-JP" sz="1200" b="1">
                <a:solidFill>
                  <a:sysClr val="windowText" lastClr="000000"/>
                </a:solidFill>
              </a:endParaRPr>
            </a:p>
            <a:p>
              <a:pPr algn="l"/>
              <a:r>
                <a:rPr kumimoji="1" lang="ja-JP" altLang="en-US" sz="1200" b="1">
                  <a:solidFill>
                    <a:sysClr val="windowText" lastClr="000000"/>
                  </a:solidFill>
                </a:rPr>
                <a:t>基準</a:t>
              </a:r>
            </a:p>
          </xdr:txBody>
        </xdr:sp>
        <xdr:sp macro="" textlink="">
          <xdr:nvSpPr>
            <xdr:cNvPr id="26" name="吹き出し: 角を丸めた四角形 25">
              <a:extLst>
                <a:ext uri="{FF2B5EF4-FFF2-40B4-BE49-F238E27FC236}">
                  <a16:creationId xmlns:a16="http://schemas.microsoft.com/office/drawing/2014/main" id="{E2AAFBE3-2255-CBB5-9354-BDDCC9DB66F1}"/>
                </a:ext>
              </a:extLst>
            </xdr:cNvPr>
            <xdr:cNvSpPr/>
          </xdr:nvSpPr>
          <xdr:spPr>
            <a:xfrm>
              <a:off x="8810066" y="18368681"/>
              <a:ext cx="2584725" cy="1275230"/>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b="1">
                  <a:solidFill>
                    <a:sysClr val="windowText" lastClr="000000"/>
                  </a:solidFill>
                </a:rPr>
                <a:t>2013</a:t>
              </a:r>
              <a:r>
                <a:rPr kumimoji="1" lang="ja-JP" altLang="en-US" sz="1200" b="1">
                  <a:solidFill>
                    <a:sysClr val="windowText" lastClr="000000"/>
                  </a:solidFill>
                </a:rPr>
                <a:t>年実績から年率</a:t>
              </a:r>
              <a:r>
                <a:rPr kumimoji="1" lang="en-US" altLang="ja-JP" sz="1200" b="1">
                  <a:solidFill>
                    <a:sysClr val="windowText" lastClr="000000"/>
                  </a:solidFill>
                </a:rPr>
                <a:t>2%</a:t>
              </a:r>
              <a:r>
                <a:rPr kumimoji="1" lang="ja-JP" altLang="en-US" sz="1200" b="1">
                  <a:solidFill>
                    <a:sysClr val="windowText" lastClr="000000"/>
                  </a:solidFill>
                </a:rPr>
                <a:t>を</a:t>
              </a:r>
              <a:endParaRPr kumimoji="1" lang="en-US" altLang="ja-JP" sz="1200" b="1">
                <a:solidFill>
                  <a:sysClr val="windowText" lastClr="000000"/>
                </a:solidFill>
              </a:endParaRPr>
            </a:p>
            <a:p>
              <a:pPr algn="l"/>
              <a:r>
                <a:rPr kumimoji="1" lang="ja-JP" altLang="en-US" sz="1200" b="1">
                  <a:solidFill>
                    <a:sysClr val="windowText" lastClr="000000"/>
                  </a:solidFill>
                </a:rPr>
                <a:t>掛けて算出</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本省目標である</a:t>
              </a:r>
              <a:r>
                <a:rPr kumimoji="1" lang="en-US" altLang="ja-JP" sz="1200" b="1">
                  <a:solidFill>
                    <a:sysClr val="windowText" lastClr="000000"/>
                  </a:solidFill>
                </a:rPr>
                <a:t>60</a:t>
              </a:r>
              <a:r>
                <a:rPr kumimoji="1" lang="ja-JP" altLang="en-US" sz="1200" b="1">
                  <a:solidFill>
                    <a:sysClr val="windowText" lastClr="000000"/>
                  </a:solidFill>
                </a:rPr>
                <a:t>万</a:t>
              </a:r>
              <a:r>
                <a:rPr kumimoji="1" lang="en-US" altLang="ja-JP" sz="1200" b="1">
                  <a:solidFill>
                    <a:sysClr val="windowText" lastClr="000000"/>
                  </a:solidFill>
                </a:rPr>
                <a:t>-CO</a:t>
              </a:r>
              <a:r>
                <a:rPr kumimoji="1" lang="ja-JP" altLang="en-US" sz="1200" b="1">
                  <a:solidFill>
                    <a:sysClr val="windowText" lastClr="000000"/>
                  </a:solidFill>
                </a:rPr>
                <a:t>₂削減に対応する値</a:t>
              </a:r>
              <a:r>
                <a:rPr kumimoji="1" lang="en-US" altLang="ja-JP" sz="1200" b="1">
                  <a:solidFill>
                    <a:sysClr val="windowText" lastClr="000000"/>
                  </a:solidFill>
                </a:rPr>
                <a:t>)</a:t>
              </a:r>
              <a:endParaRPr kumimoji="1" lang="ja-JP" altLang="en-US" sz="1200" b="1">
                <a:solidFill>
                  <a:sysClr val="windowText" lastClr="000000"/>
                </a:solidFill>
              </a:endParaRPr>
            </a:p>
          </xdr:txBody>
        </xdr:sp>
      </xdr:grpSp>
      <xdr:sp macro="" textlink="">
        <xdr:nvSpPr>
          <xdr:cNvPr id="11" name="テキスト ボックス 10">
            <a:extLst>
              <a:ext uri="{FF2B5EF4-FFF2-40B4-BE49-F238E27FC236}">
                <a16:creationId xmlns:a16="http://schemas.microsoft.com/office/drawing/2014/main" id="{42043478-1F37-4726-AF61-E3139E0CDB88}"/>
              </a:ext>
            </a:extLst>
          </xdr:cNvPr>
          <xdr:cNvSpPr txBox="1"/>
        </xdr:nvSpPr>
        <xdr:spPr>
          <a:xfrm>
            <a:off x="14695682" y="25091571"/>
            <a:ext cx="2735068" cy="4259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a:t>排出量での比較</a:t>
            </a:r>
          </a:p>
        </xdr:txBody>
      </xdr:sp>
    </xdr:grpSp>
    <xdr:clientData/>
  </xdr:twoCellAnchor>
  <xdr:oneCellAnchor>
    <xdr:from>
      <xdr:col>16</xdr:col>
      <xdr:colOff>402228</xdr:colOff>
      <xdr:row>114</xdr:row>
      <xdr:rowOff>124640</xdr:rowOff>
    </xdr:from>
    <xdr:ext cx="2733967" cy="1272464"/>
    <xdr:sp macro="" textlink="">
      <xdr:nvSpPr>
        <xdr:cNvPr id="17" name="テキスト ボックス 16">
          <a:extLst>
            <a:ext uri="{FF2B5EF4-FFF2-40B4-BE49-F238E27FC236}">
              <a16:creationId xmlns:a16="http://schemas.microsoft.com/office/drawing/2014/main" id="{0FAE90FB-83EF-4475-9957-93C15B8474EF}"/>
            </a:ext>
          </a:extLst>
        </xdr:cNvPr>
        <xdr:cNvSpPr txBox="1"/>
      </xdr:nvSpPr>
      <xdr:spPr>
        <a:xfrm>
          <a:off x="17002942" y="30958426"/>
          <a:ext cx="2733967" cy="1272464"/>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注：電力消費にかかる温室効果ガス排出量は、</a:t>
          </a:r>
          <a:r>
            <a:rPr kumimoji="1" lang="en-US" altLang="ja-JP" sz="1100" b="1">
              <a:solidFill>
                <a:srgbClr val="FF0000"/>
              </a:solidFill>
            </a:rPr>
            <a:t>2030</a:t>
          </a:r>
          <a:r>
            <a:rPr kumimoji="1" lang="ja-JP" altLang="en-US" sz="1100" b="1">
              <a:solidFill>
                <a:srgbClr val="FF0000"/>
              </a:solidFill>
            </a:rPr>
            <a:t>年度の全電源平均の電力排出係数：</a:t>
          </a:r>
          <a:r>
            <a:rPr kumimoji="1" lang="en-US" altLang="ja-JP" sz="1100" b="1">
              <a:solidFill>
                <a:srgbClr val="FF0000"/>
              </a:solidFill>
            </a:rPr>
            <a:t>0.25kg-CO₂/kWh</a:t>
          </a:r>
        </a:p>
        <a:p>
          <a:r>
            <a:rPr kumimoji="1" lang="ja-JP" altLang="en-US" sz="1100" b="1">
              <a:solidFill>
                <a:srgbClr val="FF0000"/>
              </a:solidFill>
            </a:rPr>
            <a:t>（出典：</a:t>
          </a:r>
          <a:r>
            <a:rPr kumimoji="1" lang="en-US" altLang="ja-JP" sz="1100" b="1">
              <a:solidFill>
                <a:srgbClr val="FF0000"/>
              </a:solidFill>
            </a:rPr>
            <a:t>2030</a:t>
          </a:r>
          <a:r>
            <a:rPr kumimoji="1" lang="ja-JP" altLang="en-US" sz="1100" b="1">
              <a:solidFill>
                <a:srgbClr val="FF0000"/>
              </a:solidFill>
            </a:rPr>
            <a:t>年度におけるエネルギー需給の見通し）を用いて算出</a:t>
          </a:r>
        </a:p>
      </xdr:txBody>
    </xdr:sp>
    <xdr:clientData/>
  </xdr:oneCellAnchor>
  <xdr:oneCellAnchor>
    <xdr:from>
      <xdr:col>5</xdr:col>
      <xdr:colOff>258536</xdr:colOff>
      <xdr:row>114</xdr:row>
      <xdr:rowOff>176892</xdr:rowOff>
    </xdr:from>
    <xdr:ext cx="2733967" cy="1272464"/>
    <xdr:sp macro="" textlink="">
      <xdr:nvSpPr>
        <xdr:cNvPr id="18" name="テキスト ボックス 17">
          <a:extLst>
            <a:ext uri="{FF2B5EF4-FFF2-40B4-BE49-F238E27FC236}">
              <a16:creationId xmlns:a16="http://schemas.microsoft.com/office/drawing/2014/main" id="{D9E1BDD5-B77D-4E36-8E05-A85A1088D056}"/>
            </a:ext>
          </a:extLst>
        </xdr:cNvPr>
        <xdr:cNvSpPr txBox="1"/>
      </xdr:nvSpPr>
      <xdr:spPr>
        <a:xfrm>
          <a:off x="7361465" y="31010678"/>
          <a:ext cx="2733967" cy="1272464"/>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注：電力消費にかかる温室効果ガス排出量は、</a:t>
          </a:r>
          <a:r>
            <a:rPr kumimoji="1" lang="en-US" altLang="ja-JP" sz="1100" b="1">
              <a:solidFill>
                <a:srgbClr val="FF0000"/>
              </a:solidFill>
            </a:rPr>
            <a:t>2030</a:t>
          </a:r>
          <a:r>
            <a:rPr kumimoji="1" lang="ja-JP" altLang="en-US" sz="1100" b="1">
              <a:solidFill>
                <a:srgbClr val="FF0000"/>
              </a:solidFill>
            </a:rPr>
            <a:t>年度の全電源平均の電力排出係数：</a:t>
          </a:r>
          <a:r>
            <a:rPr kumimoji="1" lang="en-US" altLang="ja-JP" sz="1100" b="1">
              <a:solidFill>
                <a:srgbClr val="FF0000"/>
              </a:solidFill>
            </a:rPr>
            <a:t>0.25kg-CO₂/kWh</a:t>
          </a:r>
        </a:p>
        <a:p>
          <a:r>
            <a:rPr kumimoji="1" lang="ja-JP" altLang="en-US" sz="1100" b="1">
              <a:solidFill>
                <a:srgbClr val="FF0000"/>
              </a:solidFill>
            </a:rPr>
            <a:t>（出典：</a:t>
          </a:r>
          <a:r>
            <a:rPr kumimoji="1" lang="en-US" altLang="ja-JP" sz="1100" b="1">
              <a:solidFill>
                <a:srgbClr val="FF0000"/>
              </a:solidFill>
            </a:rPr>
            <a:t>2030</a:t>
          </a:r>
          <a:r>
            <a:rPr kumimoji="1" lang="ja-JP" altLang="en-US" sz="1100" b="1">
              <a:solidFill>
                <a:srgbClr val="FF0000"/>
              </a:solidFill>
            </a:rPr>
            <a:t>年度におけるエネルギー需給の見通し）を用いて算出</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19</xdr:col>
      <xdr:colOff>590758</xdr:colOff>
      <xdr:row>20</xdr:row>
      <xdr:rowOff>205265</xdr:rowOff>
    </xdr:to>
    <xdr:pic>
      <xdr:nvPicPr>
        <xdr:cNvPr id="3" name="図 2">
          <a:extLst>
            <a:ext uri="{FF2B5EF4-FFF2-40B4-BE49-F238E27FC236}">
              <a16:creationId xmlns:a16="http://schemas.microsoft.com/office/drawing/2014/main" id="{C1DAACC3-3521-062E-6065-4FAE18E29E3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363325" y="1733550"/>
          <a:ext cx="6791533" cy="3310415"/>
        </a:xfrm>
        <a:prstGeom prst="rect">
          <a:avLst/>
        </a:prstGeom>
      </xdr:spPr>
    </xdr:pic>
    <xdr:clientData/>
  </xdr:twoCellAnchor>
  <xdr:twoCellAnchor editAs="oneCell">
    <xdr:from>
      <xdr:col>1</xdr:col>
      <xdr:colOff>0</xdr:colOff>
      <xdr:row>25</xdr:row>
      <xdr:rowOff>0</xdr:rowOff>
    </xdr:from>
    <xdr:to>
      <xdr:col>8</xdr:col>
      <xdr:colOff>512756</xdr:colOff>
      <xdr:row>35</xdr:row>
      <xdr:rowOff>63458</xdr:rowOff>
    </xdr:to>
    <xdr:pic>
      <xdr:nvPicPr>
        <xdr:cNvPr id="5" name="図 4">
          <a:extLst>
            <a:ext uri="{FF2B5EF4-FFF2-40B4-BE49-F238E27FC236}">
              <a16:creationId xmlns:a16="http://schemas.microsoft.com/office/drawing/2014/main" id="{A7896E51-3BE7-FDAC-6329-95E58439B6B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5800" y="6038850"/>
          <a:ext cx="7980356" cy="2444708"/>
        </a:xfrm>
        <a:prstGeom prst="rect">
          <a:avLst/>
        </a:prstGeom>
      </xdr:spPr>
    </xdr:pic>
    <xdr:clientData/>
  </xdr:twoCellAnchor>
  <xdr:twoCellAnchor editAs="oneCell">
    <xdr:from>
      <xdr:col>1</xdr:col>
      <xdr:colOff>0</xdr:colOff>
      <xdr:row>36</xdr:row>
      <xdr:rowOff>0</xdr:rowOff>
    </xdr:from>
    <xdr:to>
      <xdr:col>4</xdr:col>
      <xdr:colOff>615227</xdr:colOff>
      <xdr:row>41</xdr:row>
      <xdr:rowOff>193287</xdr:rowOff>
    </xdr:to>
    <xdr:pic>
      <xdr:nvPicPr>
        <xdr:cNvPr id="9" name="図 8">
          <a:extLst>
            <a:ext uri="{FF2B5EF4-FFF2-40B4-BE49-F238E27FC236}">
              <a16:creationId xmlns:a16="http://schemas.microsoft.com/office/drawing/2014/main" id="{B2978413-EA2C-A2E7-01BC-4F2F4B06025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85800" y="8658225"/>
          <a:ext cx="3377477" cy="1383912"/>
        </a:xfrm>
        <a:prstGeom prst="rect">
          <a:avLst/>
        </a:prstGeom>
      </xdr:spPr>
    </xdr:pic>
    <xdr:clientData/>
  </xdr:twoCellAnchor>
  <xdr:twoCellAnchor editAs="oneCell">
    <xdr:from>
      <xdr:col>1</xdr:col>
      <xdr:colOff>0</xdr:colOff>
      <xdr:row>42</xdr:row>
      <xdr:rowOff>0</xdr:rowOff>
    </xdr:from>
    <xdr:to>
      <xdr:col>13</xdr:col>
      <xdr:colOff>262807</xdr:colOff>
      <xdr:row>61</xdr:row>
      <xdr:rowOff>84600</xdr:rowOff>
    </xdr:to>
    <xdr:pic>
      <xdr:nvPicPr>
        <xdr:cNvPr id="10" name="図 9">
          <a:extLst>
            <a:ext uri="{FF2B5EF4-FFF2-40B4-BE49-F238E27FC236}">
              <a16:creationId xmlns:a16="http://schemas.microsoft.com/office/drawing/2014/main" id="{96B076B2-29A0-2465-0CFA-6FA06D3492F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 y="10086975"/>
          <a:ext cx="12235732" cy="4608975"/>
        </a:xfrm>
        <a:prstGeom prst="rect">
          <a:avLst/>
        </a:prstGeom>
      </xdr:spPr>
    </xdr:pic>
    <xdr:clientData/>
  </xdr:twoCellAnchor>
  <xdr:twoCellAnchor editAs="oneCell">
    <xdr:from>
      <xdr:col>1</xdr:col>
      <xdr:colOff>0</xdr:colOff>
      <xdr:row>63</xdr:row>
      <xdr:rowOff>0</xdr:rowOff>
    </xdr:from>
    <xdr:to>
      <xdr:col>13</xdr:col>
      <xdr:colOff>287194</xdr:colOff>
      <xdr:row>86</xdr:row>
      <xdr:rowOff>174607</xdr:rowOff>
    </xdr:to>
    <xdr:pic>
      <xdr:nvPicPr>
        <xdr:cNvPr id="11" name="図 10">
          <a:extLst>
            <a:ext uri="{FF2B5EF4-FFF2-40B4-BE49-F238E27FC236}">
              <a16:creationId xmlns:a16="http://schemas.microsoft.com/office/drawing/2014/main" id="{9A7843CE-A7BF-00D0-88C1-6DAC25E15FC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85800" y="15087600"/>
          <a:ext cx="12260119" cy="56514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5</xdr:col>
      <xdr:colOff>352425</xdr:colOff>
      <xdr:row>81</xdr:row>
      <xdr:rowOff>114300</xdr:rowOff>
    </xdr:to>
    <xdr:pic>
      <xdr:nvPicPr>
        <xdr:cNvPr id="7" name="図 6">
          <a:extLst>
            <a:ext uri="{FF2B5EF4-FFF2-40B4-BE49-F238E27FC236}">
              <a16:creationId xmlns:a16="http://schemas.microsoft.com/office/drawing/2014/main" id="{6EA063A4-8348-F23A-C9C3-5020A2B4157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85800" y="12906375"/>
          <a:ext cx="5105400" cy="701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26</xdr:row>
      <xdr:rowOff>0</xdr:rowOff>
    </xdr:from>
    <xdr:to>
      <xdr:col>6</xdr:col>
      <xdr:colOff>958031</xdr:colOff>
      <xdr:row>49</xdr:row>
      <xdr:rowOff>113642</xdr:rowOff>
    </xdr:to>
    <xdr:pic>
      <xdr:nvPicPr>
        <xdr:cNvPr id="2" name="図 1">
          <a:extLst>
            <a:ext uri="{FF2B5EF4-FFF2-40B4-BE49-F238E27FC236}">
              <a16:creationId xmlns:a16="http://schemas.microsoft.com/office/drawing/2014/main" id="{78D54F00-101E-811D-E92B-8DF09F5E286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5800" y="7191375"/>
          <a:ext cx="6663506" cy="55905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4</xdr:col>
      <xdr:colOff>1435296</xdr:colOff>
      <xdr:row>83</xdr:row>
      <xdr:rowOff>127216</xdr:rowOff>
    </xdr:to>
    <xdr:pic>
      <xdr:nvPicPr>
        <xdr:cNvPr id="4" name="図 3">
          <a:extLst>
            <a:ext uri="{FF2B5EF4-FFF2-40B4-BE49-F238E27FC236}">
              <a16:creationId xmlns:a16="http://schemas.microsoft.com/office/drawing/2014/main" id="{21210546-76D6-2116-3759-B2D778D7E46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0" y="7210425"/>
          <a:ext cx="5188146" cy="12747841"/>
        </a:xfrm>
        <a:prstGeom prst="rect">
          <a:avLst/>
        </a:prstGeom>
      </xdr:spPr>
    </xdr:pic>
    <xdr:clientData/>
  </xdr:twoCellAnchor>
  <xdr:twoCellAnchor editAs="oneCell">
    <xdr:from>
      <xdr:col>5</xdr:col>
      <xdr:colOff>0</xdr:colOff>
      <xdr:row>31</xdr:row>
      <xdr:rowOff>0</xdr:rowOff>
    </xdr:from>
    <xdr:to>
      <xdr:col>7</xdr:col>
      <xdr:colOff>1410391</xdr:colOff>
      <xdr:row>42</xdr:row>
      <xdr:rowOff>197221</xdr:rowOff>
    </xdr:to>
    <xdr:pic>
      <xdr:nvPicPr>
        <xdr:cNvPr id="5" name="図 4">
          <a:extLst>
            <a:ext uri="{FF2B5EF4-FFF2-40B4-BE49-F238E27FC236}">
              <a16:creationId xmlns:a16="http://schemas.microsoft.com/office/drawing/2014/main" id="{BC8E68E8-F518-AAE0-14F8-39E0826869E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696075" y="7448550"/>
          <a:ext cx="3572566" cy="281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32</xdr:row>
      <xdr:rowOff>0</xdr:rowOff>
    </xdr:from>
    <xdr:to>
      <xdr:col>9</xdr:col>
      <xdr:colOff>225221</xdr:colOff>
      <xdr:row>41</xdr:row>
      <xdr:rowOff>45529</xdr:rowOff>
    </xdr:to>
    <xdr:pic>
      <xdr:nvPicPr>
        <xdr:cNvPr id="2" name="図 1">
          <a:extLst>
            <a:ext uri="{FF2B5EF4-FFF2-40B4-BE49-F238E27FC236}">
              <a16:creationId xmlns:a16="http://schemas.microsoft.com/office/drawing/2014/main" id="{C220A4AE-77F6-A9BA-CF4C-863BA6C047A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648575" y="7686675"/>
          <a:ext cx="4968671" cy="2188654"/>
        </a:xfrm>
        <a:prstGeom prst="rect">
          <a:avLst/>
        </a:prstGeom>
      </xdr:spPr>
    </xdr:pic>
    <xdr:clientData/>
  </xdr:twoCellAnchor>
  <xdr:twoCellAnchor editAs="oneCell">
    <xdr:from>
      <xdr:col>1</xdr:col>
      <xdr:colOff>0</xdr:colOff>
      <xdr:row>31</xdr:row>
      <xdr:rowOff>0</xdr:rowOff>
    </xdr:from>
    <xdr:to>
      <xdr:col>4</xdr:col>
      <xdr:colOff>2246134</xdr:colOff>
      <xdr:row>61</xdr:row>
      <xdr:rowOff>141601</xdr:rowOff>
    </xdr:to>
    <xdr:pic>
      <xdr:nvPicPr>
        <xdr:cNvPr id="11" name="図 10">
          <a:extLst>
            <a:ext uri="{FF2B5EF4-FFF2-40B4-BE49-F238E27FC236}">
              <a16:creationId xmlns:a16="http://schemas.microsoft.com/office/drawing/2014/main" id="{01A0E49C-A3E4-6355-EB43-A30775AE1F5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5800" y="7448550"/>
          <a:ext cx="5998984" cy="7285351"/>
        </a:xfrm>
        <a:prstGeom prst="rect">
          <a:avLst/>
        </a:prstGeom>
      </xdr:spPr>
    </xdr:pic>
    <xdr:clientData/>
  </xdr:twoCellAnchor>
  <xdr:twoCellAnchor editAs="oneCell">
    <xdr:from>
      <xdr:col>1</xdr:col>
      <xdr:colOff>0</xdr:colOff>
      <xdr:row>63</xdr:row>
      <xdr:rowOff>0</xdr:rowOff>
    </xdr:from>
    <xdr:to>
      <xdr:col>4</xdr:col>
      <xdr:colOff>2246134</xdr:colOff>
      <xdr:row>98</xdr:row>
      <xdr:rowOff>97124</xdr:rowOff>
    </xdr:to>
    <xdr:pic>
      <xdr:nvPicPr>
        <xdr:cNvPr id="12" name="図 11">
          <a:extLst>
            <a:ext uri="{FF2B5EF4-FFF2-40B4-BE49-F238E27FC236}">
              <a16:creationId xmlns:a16="http://schemas.microsoft.com/office/drawing/2014/main" id="{53EB842F-A584-2326-7476-DC137F7A4A9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85800" y="15068550"/>
          <a:ext cx="5998984" cy="8431499"/>
        </a:xfrm>
        <a:prstGeom prst="rect">
          <a:avLst/>
        </a:prstGeom>
      </xdr:spPr>
    </xdr:pic>
    <xdr:clientData/>
  </xdr:twoCellAnchor>
  <xdr:twoCellAnchor editAs="oneCell">
    <xdr:from>
      <xdr:col>6</xdr:col>
      <xdr:colOff>0</xdr:colOff>
      <xdr:row>62</xdr:row>
      <xdr:rowOff>0</xdr:rowOff>
    </xdr:from>
    <xdr:to>
      <xdr:col>9</xdr:col>
      <xdr:colOff>2377295</xdr:colOff>
      <xdr:row>76</xdr:row>
      <xdr:rowOff>25437</xdr:rowOff>
    </xdr:to>
    <xdr:pic>
      <xdr:nvPicPr>
        <xdr:cNvPr id="13" name="図 12">
          <a:extLst>
            <a:ext uri="{FF2B5EF4-FFF2-40B4-BE49-F238E27FC236}">
              <a16:creationId xmlns:a16="http://schemas.microsoft.com/office/drawing/2014/main" id="{54C2CCCA-CB0F-E66C-F8C1-A42DEABA9ED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648575" y="14830425"/>
          <a:ext cx="7120745" cy="3359187"/>
        </a:xfrm>
        <a:prstGeom prst="rect">
          <a:avLst/>
        </a:prstGeom>
      </xdr:spPr>
    </xdr:pic>
    <xdr:clientData/>
  </xdr:twoCellAnchor>
  <xdr:twoCellAnchor editAs="oneCell">
    <xdr:from>
      <xdr:col>1</xdr:col>
      <xdr:colOff>0</xdr:colOff>
      <xdr:row>100</xdr:row>
      <xdr:rowOff>0</xdr:rowOff>
    </xdr:from>
    <xdr:to>
      <xdr:col>4</xdr:col>
      <xdr:colOff>2246134</xdr:colOff>
      <xdr:row>135</xdr:row>
      <xdr:rowOff>11772</xdr:rowOff>
    </xdr:to>
    <xdr:pic>
      <xdr:nvPicPr>
        <xdr:cNvPr id="14" name="図 13">
          <a:extLst>
            <a:ext uri="{FF2B5EF4-FFF2-40B4-BE49-F238E27FC236}">
              <a16:creationId xmlns:a16="http://schemas.microsoft.com/office/drawing/2014/main" id="{A4B673EF-8B14-EE24-B4EB-99EA15A2C6EA}"/>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85800" y="23879175"/>
          <a:ext cx="5998984" cy="8346147"/>
        </a:xfrm>
        <a:prstGeom prst="rect">
          <a:avLst/>
        </a:prstGeom>
      </xdr:spPr>
    </xdr:pic>
    <xdr:clientData/>
  </xdr:twoCellAnchor>
  <xdr:twoCellAnchor editAs="oneCell">
    <xdr:from>
      <xdr:col>6</xdr:col>
      <xdr:colOff>0</xdr:colOff>
      <xdr:row>103</xdr:row>
      <xdr:rowOff>0</xdr:rowOff>
    </xdr:from>
    <xdr:to>
      <xdr:col>10</xdr:col>
      <xdr:colOff>122938</xdr:colOff>
      <xdr:row>116</xdr:row>
      <xdr:rowOff>31894</xdr:rowOff>
    </xdr:to>
    <xdr:pic>
      <xdr:nvPicPr>
        <xdr:cNvPr id="15" name="図 14">
          <a:extLst>
            <a:ext uri="{FF2B5EF4-FFF2-40B4-BE49-F238E27FC236}">
              <a16:creationId xmlns:a16="http://schemas.microsoft.com/office/drawing/2014/main" id="{81516BA1-0F60-5F46-BA83-19E88AB5F222}"/>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648575" y="24593550"/>
          <a:ext cx="7352413" cy="31275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4</xdr:col>
      <xdr:colOff>1569419</xdr:colOff>
      <xdr:row>42</xdr:row>
      <xdr:rowOff>233436</xdr:rowOff>
    </xdr:to>
    <xdr:pic>
      <xdr:nvPicPr>
        <xdr:cNvPr id="3" name="図 2">
          <a:extLst>
            <a:ext uri="{FF2B5EF4-FFF2-40B4-BE49-F238E27FC236}">
              <a16:creationId xmlns:a16="http://schemas.microsoft.com/office/drawing/2014/main" id="{2A191A50-C28C-2348-EE0D-3283C454132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0" y="3390900"/>
          <a:ext cx="5322269" cy="74438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5</xdr:col>
      <xdr:colOff>2057400</xdr:colOff>
      <xdr:row>52</xdr:row>
      <xdr:rowOff>152400</xdr:rowOff>
    </xdr:from>
    <xdr:ext cx="184731" cy="264560"/>
    <xdr:sp macro="" textlink="">
      <xdr:nvSpPr>
        <xdr:cNvPr id="2" name="テキスト ボックス 1">
          <a:extLst>
            <a:ext uri="{FF2B5EF4-FFF2-40B4-BE49-F238E27FC236}">
              <a16:creationId xmlns:a16="http://schemas.microsoft.com/office/drawing/2014/main" id="{2FF28EB2-1F51-4DD9-94D1-91CA50263EC0}"/>
            </a:ext>
          </a:extLst>
        </xdr:cNvPr>
        <xdr:cNvSpPr txBox="1"/>
      </xdr:nvSpPr>
      <xdr:spPr>
        <a:xfrm>
          <a:off x="8724900" y="658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1</xdr:col>
      <xdr:colOff>0</xdr:colOff>
      <xdr:row>11</xdr:row>
      <xdr:rowOff>0</xdr:rowOff>
    </xdr:from>
    <xdr:to>
      <xdr:col>5</xdr:col>
      <xdr:colOff>1783623</xdr:colOff>
      <xdr:row>25</xdr:row>
      <xdr:rowOff>9788</xdr:rowOff>
    </xdr:to>
    <xdr:pic>
      <xdr:nvPicPr>
        <xdr:cNvPr id="3" name="図 2">
          <a:extLst>
            <a:ext uri="{FF2B5EF4-FFF2-40B4-BE49-F238E27FC236}">
              <a16:creationId xmlns:a16="http://schemas.microsoft.com/office/drawing/2014/main" id="{83233287-ECDE-67C2-F3A2-5D48D271F77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265" y="2655794"/>
          <a:ext cx="8327858" cy="330431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5</xdr:col>
      <xdr:colOff>2057400</xdr:colOff>
      <xdr:row>43</xdr:row>
      <xdr:rowOff>152400</xdr:rowOff>
    </xdr:from>
    <xdr:ext cx="184731" cy="264560"/>
    <xdr:sp macro="" textlink="">
      <xdr:nvSpPr>
        <xdr:cNvPr id="2" name="テキスト ボックス 1">
          <a:extLst>
            <a:ext uri="{FF2B5EF4-FFF2-40B4-BE49-F238E27FC236}">
              <a16:creationId xmlns:a16="http://schemas.microsoft.com/office/drawing/2014/main" id="{58D1B75D-0523-4BA8-B54C-B433A66B06CF}"/>
            </a:ext>
          </a:extLst>
        </xdr:cNvPr>
        <xdr:cNvSpPr txBox="1"/>
      </xdr:nvSpPr>
      <xdr:spPr>
        <a:xfrm>
          <a:off x="858202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1</xdr:col>
      <xdr:colOff>0</xdr:colOff>
      <xdr:row>12</xdr:row>
      <xdr:rowOff>0</xdr:rowOff>
    </xdr:from>
    <xdr:to>
      <xdr:col>3</xdr:col>
      <xdr:colOff>1943603</xdr:colOff>
      <xdr:row>26</xdr:row>
      <xdr:rowOff>21982</xdr:rowOff>
    </xdr:to>
    <xdr:pic>
      <xdr:nvPicPr>
        <xdr:cNvPr id="3" name="図 2">
          <a:extLst>
            <a:ext uri="{FF2B5EF4-FFF2-40B4-BE49-F238E27FC236}">
              <a16:creationId xmlns:a16="http://schemas.microsoft.com/office/drawing/2014/main" id="{C490A951-3771-61AE-ED48-0516E7A2FEE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265" y="2891118"/>
          <a:ext cx="4767485" cy="33165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6</xdr:col>
      <xdr:colOff>2057400</xdr:colOff>
      <xdr:row>38</xdr:row>
      <xdr:rowOff>152400</xdr:rowOff>
    </xdr:from>
    <xdr:ext cx="184731" cy="264560"/>
    <xdr:sp macro="" textlink="">
      <xdr:nvSpPr>
        <xdr:cNvPr id="2" name="テキスト ボックス 1">
          <a:extLst>
            <a:ext uri="{FF2B5EF4-FFF2-40B4-BE49-F238E27FC236}">
              <a16:creationId xmlns:a16="http://schemas.microsoft.com/office/drawing/2014/main" id="{AAC3D282-3C5C-4C7B-BC08-6E65DE63F234}"/>
            </a:ext>
          </a:extLst>
        </xdr:cNvPr>
        <xdr:cNvSpPr txBox="1"/>
      </xdr:nvSpPr>
      <xdr:spPr>
        <a:xfrm>
          <a:off x="8353425" y="25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2</xdr:col>
      <xdr:colOff>0</xdr:colOff>
      <xdr:row>12</xdr:row>
      <xdr:rowOff>0</xdr:rowOff>
    </xdr:from>
    <xdr:to>
      <xdr:col>4</xdr:col>
      <xdr:colOff>2755069</xdr:colOff>
      <xdr:row>27</xdr:row>
      <xdr:rowOff>43366</xdr:rowOff>
    </xdr:to>
    <xdr:pic>
      <xdr:nvPicPr>
        <xdr:cNvPr id="3" name="図 2">
          <a:extLst>
            <a:ext uri="{FF2B5EF4-FFF2-40B4-BE49-F238E27FC236}">
              <a16:creationId xmlns:a16="http://schemas.microsoft.com/office/drawing/2014/main" id="{2EFF2531-4378-B858-8E85-5A3504CD8B7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825" y="2924175"/>
          <a:ext cx="5060119" cy="361524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10</xdr:col>
      <xdr:colOff>1050680</xdr:colOff>
      <xdr:row>24</xdr:row>
      <xdr:rowOff>114884</xdr:rowOff>
    </xdr:to>
    <xdr:pic>
      <xdr:nvPicPr>
        <xdr:cNvPr id="2" name="図 1">
          <a:extLst>
            <a:ext uri="{FF2B5EF4-FFF2-40B4-BE49-F238E27FC236}">
              <a16:creationId xmlns:a16="http://schemas.microsoft.com/office/drawing/2014/main" id="{C8977006-5850-A6A7-C18A-DCE1290FB2C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5941" y="1949824"/>
          <a:ext cx="5364945" cy="3633531"/>
        </a:xfrm>
        <a:prstGeom prst="rect">
          <a:avLst/>
        </a:prstGeom>
      </xdr:spPr>
    </xdr:pic>
    <xdr:clientData/>
  </xdr:twoCellAnchor>
  <xdr:twoCellAnchor editAs="oneCell">
    <xdr:from>
      <xdr:col>1</xdr:col>
      <xdr:colOff>0</xdr:colOff>
      <xdr:row>27</xdr:row>
      <xdr:rowOff>0</xdr:rowOff>
    </xdr:from>
    <xdr:to>
      <xdr:col>7</xdr:col>
      <xdr:colOff>256314</xdr:colOff>
      <xdr:row>47</xdr:row>
      <xdr:rowOff>176848</xdr:rowOff>
    </xdr:to>
    <xdr:pic>
      <xdr:nvPicPr>
        <xdr:cNvPr id="5" name="図 4">
          <a:extLst>
            <a:ext uri="{FF2B5EF4-FFF2-40B4-BE49-F238E27FC236}">
              <a16:creationId xmlns:a16="http://schemas.microsoft.com/office/drawing/2014/main" id="{5E41BFCA-A186-5406-F7A9-81C22BF9E83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3559" y="6174441"/>
          <a:ext cx="8425402" cy="48833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6</xdr:col>
      <xdr:colOff>284639</xdr:colOff>
      <xdr:row>30</xdr:row>
      <xdr:rowOff>192325</xdr:rowOff>
    </xdr:to>
    <xdr:pic>
      <xdr:nvPicPr>
        <xdr:cNvPr id="5" name="図 4">
          <a:extLst>
            <a:ext uri="{FF2B5EF4-FFF2-40B4-BE49-F238E27FC236}">
              <a16:creationId xmlns:a16="http://schemas.microsoft.com/office/drawing/2014/main" id="{AAE2F6B0-173C-8551-3919-4D2F4D8F0F0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00050" y="3876675"/>
          <a:ext cx="4761389" cy="3468925"/>
        </a:xfrm>
        <a:prstGeom prst="rect">
          <a:avLst/>
        </a:prstGeom>
      </xdr:spPr>
    </xdr:pic>
    <xdr:clientData/>
  </xdr:twoCellAnchor>
  <xdr:twoCellAnchor editAs="oneCell">
    <xdr:from>
      <xdr:col>1</xdr:col>
      <xdr:colOff>0</xdr:colOff>
      <xdr:row>80</xdr:row>
      <xdr:rowOff>0</xdr:rowOff>
    </xdr:from>
    <xdr:to>
      <xdr:col>7</xdr:col>
      <xdr:colOff>846359</xdr:colOff>
      <xdr:row>103</xdr:row>
      <xdr:rowOff>94952</xdr:rowOff>
    </xdr:to>
    <xdr:pic>
      <xdr:nvPicPr>
        <xdr:cNvPr id="4" name="図 3">
          <a:extLst>
            <a:ext uri="{FF2B5EF4-FFF2-40B4-BE49-F238E27FC236}">
              <a16:creationId xmlns:a16="http://schemas.microsoft.com/office/drawing/2014/main" id="{22C92A52-77BC-E8D9-11A9-C12BEAB5CC1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00050" y="18583275"/>
          <a:ext cx="6218459" cy="5352752"/>
        </a:xfrm>
        <a:prstGeom prst="rect">
          <a:avLst/>
        </a:prstGeom>
      </xdr:spPr>
    </xdr:pic>
    <xdr:clientData/>
  </xdr:twoCellAnchor>
  <xdr:twoCellAnchor editAs="oneCell">
    <xdr:from>
      <xdr:col>8</xdr:col>
      <xdr:colOff>0</xdr:colOff>
      <xdr:row>80</xdr:row>
      <xdr:rowOff>0</xdr:rowOff>
    </xdr:from>
    <xdr:to>
      <xdr:col>13</xdr:col>
      <xdr:colOff>2578120</xdr:colOff>
      <xdr:row>102</xdr:row>
      <xdr:rowOff>165042</xdr:rowOff>
    </xdr:to>
    <xdr:pic>
      <xdr:nvPicPr>
        <xdr:cNvPr id="6" name="図 5">
          <a:extLst>
            <a:ext uri="{FF2B5EF4-FFF2-40B4-BE49-F238E27FC236}">
              <a16:creationId xmlns:a16="http://schemas.microsoft.com/office/drawing/2014/main" id="{A25EDECC-7382-4D93-45BC-D41CA119EF1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667500" y="18583275"/>
          <a:ext cx="7559695" cy="51942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12</xdr:row>
      <xdr:rowOff>190499</xdr:rowOff>
    </xdr:from>
    <xdr:to>
      <xdr:col>6</xdr:col>
      <xdr:colOff>1144618</xdr:colOff>
      <xdr:row>36</xdr:row>
      <xdr:rowOff>120514</xdr:rowOff>
    </xdr:to>
    <xdr:grpSp>
      <xdr:nvGrpSpPr>
        <xdr:cNvPr id="22" name="グループ化 21">
          <a:extLst>
            <a:ext uri="{FF2B5EF4-FFF2-40B4-BE49-F238E27FC236}">
              <a16:creationId xmlns:a16="http://schemas.microsoft.com/office/drawing/2014/main" id="{032AE68E-D6C0-3C87-8925-B3A180EB17B8}"/>
            </a:ext>
          </a:extLst>
        </xdr:cNvPr>
        <xdr:cNvGrpSpPr/>
      </xdr:nvGrpSpPr>
      <xdr:grpSpPr>
        <a:xfrm>
          <a:off x="666750" y="3809999"/>
          <a:ext cx="9621868" cy="5265920"/>
          <a:chOff x="680357" y="4054928"/>
          <a:chExt cx="9635475" cy="5806395"/>
        </a:xfrm>
      </xdr:grpSpPr>
      <xdr:grpSp>
        <xdr:nvGrpSpPr>
          <xdr:cNvPr id="7" name="グループ化 6">
            <a:extLst>
              <a:ext uri="{FF2B5EF4-FFF2-40B4-BE49-F238E27FC236}">
                <a16:creationId xmlns:a16="http://schemas.microsoft.com/office/drawing/2014/main" id="{1A4CE5B7-9BB3-4ABA-8576-8081EF901369}"/>
              </a:ext>
            </a:extLst>
          </xdr:cNvPr>
          <xdr:cNvGrpSpPr/>
        </xdr:nvGrpSpPr>
        <xdr:grpSpPr>
          <a:xfrm>
            <a:off x="680357" y="4054928"/>
            <a:ext cx="9590096" cy="5806395"/>
            <a:chOff x="680357" y="25091572"/>
            <a:chExt cx="9571635" cy="5583007"/>
          </a:xfrm>
        </xdr:grpSpPr>
        <xdr:grpSp>
          <xdr:nvGrpSpPr>
            <xdr:cNvPr id="8" name="グループ化 7">
              <a:extLst>
                <a:ext uri="{FF2B5EF4-FFF2-40B4-BE49-F238E27FC236}">
                  <a16:creationId xmlns:a16="http://schemas.microsoft.com/office/drawing/2014/main" id="{A67B17E0-2001-8D20-1B6B-29274E69FA91}"/>
                </a:ext>
              </a:extLst>
            </xdr:cNvPr>
            <xdr:cNvGrpSpPr/>
          </xdr:nvGrpSpPr>
          <xdr:grpSpPr>
            <a:xfrm>
              <a:off x="680357" y="25570092"/>
              <a:ext cx="9571635" cy="5104487"/>
              <a:chOff x="683559" y="18278096"/>
              <a:chExt cx="10006853" cy="4906875"/>
            </a:xfrm>
          </xdr:grpSpPr>
          <xdr:graphicFrame macro="">
            <xdr:nvGraphicFramePr>
              <xdr:cNvPr id="10" name="グラフ 9">
                <a:extLst>
                  <a:ext uri="{FF2B5EF4-FFF2-40B4-BE49-F238E27FC236}">
                    <a16:creationId xmlns:a16="http://schemas.microsoft.com/office/drawing/2014/main" id="{ADB6075A-8724-D3AE-4AA0-F61E716F2D0A}"/>
                  </a:ext>
                </a:extLst>
              </xdr:cNvPr>
              <xdr:cNvGraphicFramePr/>
            </xdr:nvGraphicFramePr>
            <xdr:xfrm>
              <a:off x="683559" y="18939062"/>
              <a:ext cx="10006853" cy="424590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1" name="吹き出し: 角を丸めた四角形 10">
                <a:extLst>
                  <a:ext uri="{FF2B5EF4-FFF2-40B4-BE49-F238E27FC236}">
                    <a16:creationId xmlns:a16="http://schemas.microsoft.com/office/drawing/2014/main" id="{F615FA7E-9EBE-94C4-4A22-635E8E36FE39}"/>
                  </a:ext>
                </a:extLst>
              </xdr:cNvPr>
              <xdr:cNvSpPr/>
            </xdr:nvSpPr>
            <xdr:spPr>
              <a:xfrm>
                <a:off x="4073096" y="18372082"/>
                <a:ext cx="1407834" cy="659890"/>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b="1">
                    <a:solidFill>
                      <a:sysClr val="windowText" lastClr="000000"/>
                    </a:solidFill>
                  </a:rPr>
                  <a:t>2013</a:t>
                </a:r>
                <a:r>
                  <a:rPr kumimoji="1" lang="ja-JP" altLang="en-US" sz="1050" b="1">
                    <a:solidFill>
                      <a:sysClr val="windowText" lastClr="000000"/>
                    </a:solidFill>
                  </a:rPr>
                  <a:t>年からの進歩</a:t>
                </a:r>
                <a:endParaRPr kumimoji="1" lang="en-US" altLang="ja-JP" sz="1050" b="1">
                  <a:solidFill>
                    <a:sysClr val="windowText" lastClr="000000"/>
                  </a:solidFill>
                </a:endParaRPr>
              </a:p>
            </xdr:txBody>
          </xdr:sp>
          <xdr:sp macro="" textlink="">
            <xdr:nvSpPr>
              <xdr:cNvPr id="12" name="吹き出し: 角を丸めた四角形 11">
                <a:extLst>
                  <a:ext uri="{FF2B5EF4-FFF2-40B4-BE49-F238E27FC236}">
                    <a16:creationId xmlns:a16="http://schemas.microsoft.com/office/drawing/2014/main" id="{6E66C446-2573-33AA-C90A-70B0AB00D46B}"/>
                  </a:ext>
                </a:extLst>
              </xdr:cNvPr>
              <xdr:cNvSpPr/>
            </xdr:nvSpPr>
            <xdr:spPr>
              <a:xfrm>
                <a:off x="5709130" y="18358918"/>
                <a:ext cx="1485328" cy="691742"/>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全国と比較するときの基準</a:t>
                </a:r>
              </a:p>
            </xdr:txBody>
          </xdr:sp>
          <xdr:sp macro="" textlink="">
            <xdr:nvSpPr>
              <xdr:cNvPr id="13" name="吹き出し: 角を丸めた四角形 12">
                <a:extLst>
                  <a:ext uri="{FF2B5EF4-FFF2-40B4-BE49-F238E27FC236}">
                    <a16:creationId xmlns:a16="http://schemas.microsoft.com/office/drawing/2014/main" id="{8EED6F29-22FC-172F-0C0D-414BACAF293E}"/>
                  </a:ext>
                </a:extLst>
              </xdr:cNvPr>
              <xdr:cNvSpPr/>
            </xdr:nvSpPr>
            <xdr:spPr>
              <a:xfrm>
                <a:off x="7396877" y="18278096"/>
                <a:ext cx="1577717" cy="1275230"/>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b="1">
                    <a:solidFill>
                      <a:sysClr val="windowText" lastClr="000000"/>
                    </a:solidFill>
                  </a:rPr>
                  <a:t>2013</a:t>
                </a:r>
                <a:r>
                  <a:rPr kumimoji="1" lang="ja-JP" altLang="en-US" sz="1050" b="1">
                    <a:solidFill>
                      <a:sysClr val="windowText" lastClr="000000"/>
                    </a:solidFill>
                  </a:rPr>
                  <a:t>年実績から年率</a:t>
                </a:r>
                <a:r>
                  <a:rPr kumimoji="1" lang="en-US" altLang="ja-JP" sz="1050" b="1">
                    <a:solidFill>
                      <a:sysClr val="windowText" lastClr="000000"/>
                    </a:solidFill>
                  </a:rPr>
                  <a:t>2%</a:t>
                </a:r>
                <a:r>
                  <a:rPr kumimoji="1" lang="ja-JP" altLang="en-US" sz="1050" b="1">
                    <a:solidFill>
                      <a:sysClr val="windowText" lastClr="000000"/>
                    </a:solidFill>
                  </a:rPr>
                  <a:t>を掛けて算出</a:t>
                </a:r>
                <a:endParaRPr kumimoji="1" lang="en-US" altLang="ja-JP" sz="1050" b="1">
                  <a:solidFill>
                    <a:sysClr val="windowText" lastClr="000000"/>
                  </a:solidFill>
                </a:endParaRPr>
              </a:p>
              <a:p>
                <a:pPr algn="l"/>
                <a:r>
                  <a:rPr kumimoji="1" lang="en-US" altLang="ja-JP" sz="1050" b="1">
                    <a:solidFill>
                      <a:sysClr val="windowText" lastClr="000000"/>
                    </a:solidFill>
                  </a:rPr>
                  <a:t>(</a:t>
                </a:r>
                <a:r>
                  <a:rPr kumimoji="1" lang="ja-JP" altLang="en-US" sz="1050" b="1">
                    <a:solidFill>
                      <a:sysClr val="windowText" lastClr="000000"/>
                    </a:solidFill>
                  </a:rPr>
                  <a:t>本省目標である</a:t>
                </a:r>
                <a:r>
                  <a:rPr kumimoji="1" lang="en-US" altLang="ja-JP" sz="1050" b="1">
                    <a:solidFill>
                      <a:sysClr val="windowText" lastClr="000000"/>
                    </a:solidFill>
                  </a:rPr>
                  <a:t>60</a:t>
                </a:r>
                <a:r>
                  <a:rPr kumimoji="1" lang="ja-JP" altLang="en-US" sz="1050" b="1">
                    <a:solidFill>
                      <a:sysClr val="windowText" lastClr="000000"/>
                    </a:solidFill>
                  </a:rPr>
                  <a:t>万</a:t>
                </a:r>
                <a:r>
                  <a:rPr kumimoji="1" lang="en-US" altLang="ja-JP" sz="1050" b="1">
                    <a:solidFill>
                      <a:sysClr val="windowText" lastClr="000000"/>
                    </a:solidFill>
                  </a:rPr>
                  <a:t>-CO</a:t>
                </a:r>
                <a:r>
                  <a:rPr kumimoji="1" lang="ja-JP" altLang="en-US" sz="1050" b="1">
                    <a:solidFill>
                      <a:sysClr val="windowText" lastClr="000000"/>
                    </a:solidFill>
                  </a:rPr>
                  <a:t>₂削減に対応する値</a:t>
                </a:r>
                <a:r>
                  <a:rPr kumimoji="1" lang="en-US" altLang="ja-JP" sz="1050" b="1">
                    <a:solidFill>
                      <a:sysClr val="windowText" lastClr="000000"/>
                    </a:solidFill>
                  </a:rPr>
                  <a:t>)</a:t>
                </a:r>
                <a:endParaRPr kumimoji="1" lang="ja-JP" altLang="en-US" sz="1050" b="1">
                  <a:solidFill>
                    <a:sysClr val="windowText" lastClr="000000"/>
                  </a:solidFill>
                </a:endParaRPr>
              </a:p>
            </xdr:txBody>
          </xdr:sp>
        </xdr:grpSp>
        <xdr:sp macro="" textlink="">
          <xdr:nvSpPr>
            <xdr:cNvPr id="9" name="テキスト ボックス 8">
              <a:extLst>
                <a:ext uri="{FF2B5EF4-FFF2-40B4-BE49-F238E27FC236}">
                  <a16:creationId xmlns:a16="http://schemas.microsoft.com/office/drawing/2014/main" id="{6697B8E6-1A39-CA09-5D55-66CFE47107F3}"/>
                </a:ext>
              </a:extLst>
            </xdr:cNvPr>
            <xdr:cNvSpPr txBox="1"/>
          </xdr:nvSpPr>
          <xdr:spPr>
            <a:xfrm>
              <a:off x="4109358" y="25091572"/>
              <a:ext cx="2735034" cy="4259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a:t>排出量原単位での比較</a:t>
              </a:r>
            </a:p>
          </xdr:txBody>
        </xdr:sp>
      </xdr:grpSp>
      <xdr:sp macro="" textlink="">
        <xdr:nvSpPr>
          <xdr:cNvPr id="14" name="吹き出し: 角を丸めた四角形 13">
            <a:extLst>
              <a:ext uri="{FF2B5EF4-FFF2-40B4-BE49-F238E27FC236}">
                <a16:creationId xmlns:a16="http://schemas.microsoft.com/office/drawing/2014/main" id="{F09D1B18-491E-4D30-818F-01CFF7485450}"/>
              </a:ext>
            </a:extLst>
          </xdr:cNvPr>
          <xdr:cNvSpPr/>
        </xdr:nvSpPr>
        <xdr:spPr>
          <a:xfrm>
            <a:off x="8803822" y="4544785"/>
            <a:ext cx="1512010" cy="1379666"/>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本ツールで設定した対策を講じた時の排出量</a:t>
            </a:r>
          </a:p>
        </xdr:txBody>
      </xdr:sp>
    </xdr:grpSp>
    <xdr:clientData/>
  </xdr:twoCellAnchor>
  <xdr:twoCellAnchor>
    <xdr:from>
      <xdr:col>7</xdr:col>
      <xdr:colOff>0</xdr:colOff>
      <xdr:row>12</xdr:row>
      <xdr:rowOff>0</xdr:rowOff>
    </xdr:from>
    <xdr:to>
      <xdr:col>15</xdr:col>
      <xdr:colOff>322761</xdr:colOff>
      <xdr:row>36</xdr:row>
      <xdr:rowOff>106952</xdr:rowOff>
    </xdr:to>
    <xdr:grpSp>
      <xdr:nvGrpSpPr>
        <xdr:cNvPr id="23" name="グループ化 22">
          <a:extLst>
            <a:ext uri="{FF2B5EF4-FFF2-40B4-BE49-F238E27FC236}">
              <a16:creationId xmlns:a16="http://schemas.microsoft.com/office/drawing/2014/main" id="{28C8660A-480C-4CE9-A3EF-4F6C73795320}"/>
            </a:ext>
          </a:extLst>
        </xdr:cNvPr>
        <xdr:cNvGrpSpPr/>
      </xdr:nvGrpSpPr>
      <xdr:grpSpPr>
        <a:xfrm>
          <a:off x="10636250" y="3619500"/>
          <a:ext cx="9835696" cy="5439047"/>
          <a:chOff x="680357" y="4054928"/>
          <a:chExt cx="9635475" cy="5806395"/>
        </a:xfrm>
      </xdr:grpSpPr>
      <xdr:grpSp>
        <xdr:nvGrpSpPr>
          <xdr:cNvPr id="24" name="グループ化 23">
            <a:extLst>
              <a:ext uri="{FF2B5EF4-FFF2-40B4-BE49-F238E27FC236}">
                <a16:creationId xmlns:a16="http://schemas.microsoft.com/office/drawing/2014/main" id="{CF2C785D-9ABB-D024-B2CF-4A2F42EA05AE}"/>
              </a:ext>
            </a:extLst>
          </xdr:cNvPr>
          <xdr:cNvGrpSpPr/>
        </xdr:nvGrpSpPr>
        <xdr:grpSpPr>
          <a:xfrm>
            <a:off x="680357" y="4054928"/>
            <a:ext cx="9590096" cy="5806395"/>
            <a:chOff x="680357" y="25091572"/>
            <a:chExt cx="9571635" cy="5583007"/>
          </a:xfrm>
        </xdr:grpSpPr>
        <xdr:grpSp>
          <xdr:nvGrpSpPr>
            <xdr:cNvPr id="26" name="グループ化 25">
              <a:extLst>
                <a:ext uri="{FF2B5EF4-FFF2-40B4-BE49-F238E27FC236}">
                  <a16:creationId xmlns:a16="http://schemas.microsoft.com/office/drawing/2014/main" id="{CB91D6C3-359B-041E-620B-AD92761C94C6}"/>
                </a:ext>
              </a:extLst>
            </xdr:cNvPr>
            <xdr:cNvGrpSpPr/>
          </xdr:nvGrpSpPr>
          <xdr:grpSpPr>
            <a:xfrm>
              <a:off x="680357" y="25570092"/>
              <a:ext cx="9571635" cy="5104487"/>
              <a:chOff x="683559" y="18278096"/>
              <a:chExt cx="10006853" cy="4906875"/>
            </a:xfrm>
          </xdr:grpSpPr>
          <xdr:graphicFrame macro="">
            <xdr:nvGraphicFramePr>
              <xdr:cNvPr id="28" name="グラフ 27">
                <a:extLst>
                  <a:ext uri="{FF2B5EF4-FFF2-40B4-BE49-F238E27FC236}">
                    <a16:creationId xmlns:a16="http://schemas.microsoft.com/office/drawing/2014/main" id="{44542FAC-704E-DC63-DEBF-94D1867B0E44}"/>
                  </a:ext>
                </a:extLst>
              </xdr:cNvPr>
              <xdr:cNvGraphicFramePr/>
            </xdr:nvGraphicFramePr>
            <xdr:xfrm>
              <a:off x="683559" y="18939062"/>
              <a:ext cx="10006853" cy="4245909"/>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9" name="吹き出し: 角を丸めた四角形 28">
                <a:extLst>
                  <a:ext uri="{FF2B5EF4-FFF2-40B4-BE49-F238E27FC236}">
                    <a16:creationId xmlns:a16="http://schemas.microsoft.com/office/drawing/2014/main" id="{635BF8D5-C9F6-6A08-D4DB-AD80BD76872C}"/>
                  </a:ext>
                </a:extLst>
              </xdr:cNvPr>
              <xdr:cNvSpPr/>
            </xdr:nvSpPr>
            <xdr:spPr>
              <a:xfrm>
                <a:off x="4073096" y="18372082"/>
                <a:ext cx="1407834" cy="659890"/>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b="1">
                    <a:solidFill>
                      <a:sysClr val="windowText" lastClr="000000"/>
                    </a:solidFill>
                  </a:rPr>
                  <a:t>2013</a:t>
                </a:r>
                <a:r>
                  <a:rPr kumimoji="1" lang="ja-JP" altLang="en-US" sz="1050" b="1">
                    <a:solidFill>
                      <a:sysClr val="windowText" lastClr="000000"/>
                    </a:solidFill>
                  </a:rPr>
                  <a:t>年からの進歩</a:t>
                </a:r>
                <a:endParaRPr kumimoji="1" lang="en-US" altLang="ja-JP" sz="1050" b="1">
                  <a:solidFill>
                    <a:sysClr val="windowText" lastClr="000000"/>
                  </a:solidFill>
                </a:endParaRPr>
              </a:p>
            </xdr:txBody>
          </xdr:sp>
          <xdr:sp macro="" textlink="">
            <xdr:nvSpPr>
              <xdr:cNvPr id="30" name="吹き出し: 角を丸めた四角形 29">
                <a:extLst>
                  <a:ext uri="{FF2B5EF4-FFF2-40B4-BE49-F238E27FC236}">
                    <a16:creationId xmlns:a16="http://schemas.microsoft.com/office/drawing/2014/main" id="{95B05857-F30D-F9E8-C9BE-33B7D9BBBC73}"/>
                  </a:ext>
                </a:extLst>
              </xdr:cNvPr>
              <xdr:cNvSpPr/>
            </xdr:nvSpPr>
            <xdr:spPr>
              <a:xfrm>
                <a:off x="5709130" y="18358918"/>
                <a:ext cx="1485328" cy="691742"/>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全国と比較するときの基準</a:t>
                </a:r>
              </a:p>
            </xdr:txBody>
          </xdr:sp>
          <xdr:sp macro="" textlink="">
            <xdr:nvSpPr>
              <xdr:cNvPr id="31" name="吹き出し: 角を丸めた四角形 30">
                <a:extLst>
                  <a:ext uri="{FF2B5EF4-FFF2-40B4-BE49-F238E27FC236}">
                    <a16:creationId xmlns:a16="http://schemas.microsoft.com/office/drawing/2014/main" id="{ACE5476C-D948-68FF-B6F2-6BD2C28D1683}"/>
                  </a:ext>
                </a:extLst>
              </xdr:cNvPr>
              <xdr:cNvSpPr/>
            </xdr:nvSpPr>
            <xdr:spPr>
              <a:xfrm>
                <a:off x="7396877" y="18278096"/>
                <a:ext cx="1577717" cy="1275230"/>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b="1">
                    <a:solidFill>
                      <a:sysClr val="windowText" lastClr="000000"/>
                    </a:solidFill>
                  </a:rPr>
                  <a:t>2013</a:t>
                </a:r>
                <a:r>
                  <a:rPr kumimoji="1" lang="ja-JP" altLang="en-US" sz="1050" b="1">
                    <a:solidFill>
                      <a:sysClr val="windowText" lastClr="000000"/>
                    </a:solidFill>
                  </a:rPr>
                  <a:t>年実績から年率</a:t>
                </a:r>
                <a:r>
                  <a:rPr kumimoji="1" lang="en-US" altLang="ja-JP" sz="1050" b="1">
                    <a:solidFill>
                      <a:sysClr val="windowText" lastClr="000000"/>
                    </a:solidFill>
                  </a:rPr>
                  <a:t>2%</a:t>
                </a:r>
                <a:r>
                  <a:rPr kumimoji="1" lang="ja-JP" altLang="en-US" sz="1050" b="1">
                    <a:solidFill>
                      <a:sysClr val="windowText" lastClr="000000"/>
                    </a:solidFill>
                  </a:rPr>
                  <a:t>を掛けて算出</a:t>
                </a:r>
                <a:endParaRPr kumimoji="1" lang="en-US" altLang="ja-JP" sz="1050" b="1">
                  <a:solidFill>
                    <a:sysClr val="windowText" lastClr="000000"/>
                  </a:solidFill>
                </a:endParaRPr>
              </a:p>
              <a:p>
                <a:pPr algn="l"/>
                <a:r>
                  <a:rPr kumimoji="1" lang="en-US" altLang="ja-JP" sz="1050" b="1">
                    <a:solidFill>
                      <a:sysClr val="windowText" lastClr="000000"/>
                    </a:solidFill>
                  </a:rPr>
                  <a:t>(</a:t>
                </a:r>
                <a:r>
                  <a:rPr kumimoji="1" lang="ja-JP" altLang="en-US" sz="1050" b="1">
                    <a:solidFill>
                      <a:sysClr val="windowText" lastClr="000000"/>
                    </a:solidFill>
                  </a:rPr>
                  <a:t>本省目標である</a:t>
                </a:r>
                <a:r>
                  <a:rPr kumimoji="1" lang="en-US" altLang="ja-JP" sz="1050" b="1">
                    <a:solidFill>
                      <a:sysClr val="windowText" lastClr="000000"/>
                    </a:solidFill>
                  </a:rPr>
                  <a:t>60</a:t>
                </a:r>
                <a:r>
                  <a:rPr kumimoji="1" lang="ja-JP" altLang="en-US" sz="1050" b="1">
                    <a:solidFill>
                      <a:sysClr val="windowText" lastClr="000000"/>
                    </a:solidFill>
                  </a:rPr>
                  <a:t>万</a:t>
                </a:r>
                <a:r>
                  <a:rPr kumimoji="1" lang="en-US" altLang="ja-JP" sz="1050" b="1">
                    <a:solidFill>
                      <a:sysClr val="windowText" lastClr="000000"/>
                    </a:solidFill>
                  </a:rPr>
                  <a:t>-CO</a:t>
                </a:r>
                <a:r>
                  <a:rPr kumimoji="1" lang="ja-JP" altLang="en-US" sz="1050" b="1">
                    <a:solidFill>
                      <a:sysClr val="windowText" lastClr="000000"/>
                    </a:solidFill>
                  </a:rPr>
                  <a:t>₂削減に対応する値</a:t>
                </a:r>
                <a:r>
                  <a:rPr kumimoji="1" lang="en-US" altLang="ja-JP" sz="1050" b="1">
                    <a:solidFill>
                      <a:sysClr val="windowText" lastClr="000000"/>
                    </a:solidFill>
                  </a:rPr>
                  <a:t>)</a:t>
                </a:r>
                <a:endParaRPr kumimoji="1" lang="ja-JP" altLang="en-US" sz="1050" b="1">
                  <a:solidFill>
                    <a:sysClr val="windowText" lastClr="000000"/>
                  </a:solidFill>
                </a:endParaRPr>
              </a:p>
            </xdr:txBody>
          </xdr:sp>
        </xdr:grpSp>
        <xdr:sp macro="" textlink="">
          <xdr:nvSpPr>
            <xdr:cNvPr id="27" name="テキスト ボックス 26">
              <a:extLst>
                <a:ext uri="{FF2B5EF4-FFF2-40B4-BE49-F238E27FC236}">
                  <a16:creationId xmlns:a16="http://schemas.microsoft.com/office/drawing/2014/main" id="{1422CBE4-98E3-AE14-66BE-720E572070B4}"/>
                </a:ext>
              </a:extLst>
            </xdr:cNvPr>
            <xdr:cNvSpPr txBox="1"/>
          </xdr:nvSpPr>
          <xdr:spPr>
            <a:xfrm>
              <a:off x="4109358" y="25091572"/>
              <a:ext cx="2735034" cy="4259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a:t>排出量での比較</a:t>
              </a:r>
            </a:p>
          </xdr:txBody>
        </xdr:sp>
      </xdr:grpSp>
      <xdr:sp macro="" textlink="">
        <xdr:nvSpPr>
          <xdr:cNvPr id="25" name="吹き出し: 角を丸めた四角形 24">
            <a:extLst>
              <a:ext uri="{FF2B5EF4-FFF2-40B4-BE49-F238E27FC236}">
                <a16:creationId xmlns:a16="http://schemas.microsoft.com/office/drawing/2014/main" id="{1CDD3777-03D6-3394-8CF5-1A9998611B3B}"/>
              </a:ext>
            </a:extLst>
          </xdr:cNvPr>
          <xdr:cNvSpPr/>
        </xdr:nvSpPr>
        <xdr:spPr>
          <a:xfrm>
            <a:off x="8803822" y="4544785"/>
            <a:ext cx="1512010" cy="1379666"/>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本ツールで設定した対策を講じた時の排出量</a:t>
            </a:r>
          </a:p>
        </xdr:txBody>
      </xdr:sp>
    </xdr:grpSp>
    <xdr:clientData/>
  </xdr:twoCellAnchor>
  <xdr:oneCellAnchor>
    <xdr:from>
      <xdr:col>1</xdr:col>
      <xdr:colOff>1476143</xdr:colOff>
      <xdr:row>37</xdr:row>
      <xdr:rowOff>0</xdr:rowOff>
    </xdr:from>
    <xdr:ext cx="6669583" cy="564385"/>
    <xdr:sp macro="" textlink="">
      <xdr:nvSpPr>
        <xdr:cNvPr id="32" name="テキスト ボックス 31">
          <a:extLst>
            <a:ext uri="{FF2B5EF4-FFF2-40B4-BE49-F238E27FC236}">
              <a16:creationId xmlns:a16="http://schemas.microsoft.com/office/drawing/2014/main" id="{B9FF9BB1-B624-4D7A-999B-8927FC72F8BC}"/>
            </a:ext>
          </a:extLst>
        </xdr:cNvPr>
        <xdr:cNvSpPr txBox="1"/>
      </xdr:nvSpPr>
      <xdr:spPr>
        <a:xfrm>
          <a:off x="2142893" y="9175750"/>
          <a:ext cx="6669583" cy="564385"/>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注：電力消費にかかる温室効果ガス排出量は、</a:t>
          </a:r>
          <a:r>
            <a:rPr kumimoji="1" lang="en-US" altLang="ja-JP" sz="1100" b="1">
              <a:solidFill>
                <a:srgbClr val="FF0000"/>
              </a:solidFill>
            </a:rPr>
            <a:t>2030</a:t>
          </a:r>
          <a:r>
            <a:rPr kumimoji="1" lang="ja-JP" altLang="en-US" sz="1100" b="1">
              <a:solidFill>
                <a:srgbClr val="FF0000"/>
              </a:solidFill>
            </a:rPr>
            <a:t>年度の全電源平均の電力排出係数：</a:t>
          </a:r>
          <a:r>
            <a:rPr kumimoji="1" lang="en-US" altLang="ja-JP" sz="1100" b="1">
              <a:solidFill>
                <a:srgbClr val="FF0000"/>
              </a:solidFill>
            </a:rPr>
            <a:t>0.25kg-CO₂/kWh</a:t>
          </a:r>
        </a:p>
        <a:p>
          <a:r>
            <a:rPr kumimoji="1" lang="ja-JP" altLang="en-US" sz="1100" b="1">
              <a:solidFill>
                <a:srgbClr val="FF0000"/>
              </a:solidFill>
            </a:rPr>
            <a:t>（出典：</a:t>
          </a:r>
          <a:r>
            <a:rPr kumimoji="1" lang="en-US" altLang="ja-JP" sz="1100" b="1">
              <a:solidFill>
                <a:srgbClr val="FF0000"/>
              </a:solidFill>
            </a:rPr>
            <a:t>2030</a:t>
          </a:r>
          <a:r>
            <a:rPr kumimoji="1" lang="ja-JP" altLang="en-US" sz="1100" b="1">
              <a:solidFill>
                <a:srgbClr val="FF0000"/>
              </a:solidFill>
            </a:rPr>
            <a:t>年度におけるエネルギー需給の見通し）を用いて算出</a:t>
          </a:r>
        </a:p>
      </xdr:txBody>
    </xdr:sp>
    <xdr:clientData/>
  </xdr:oneCellAnchor>
  <xdr:oneCellAnchor>
    <xdr:from>
      <xdr:col>7</xdr:col>
      <xdr:colOff>1581152</xdr:colOff>
      <xdr:row>37</xdr:row>
      <xdr:rowOff>0</xdr:rowOff>
    </xdr:from>
    <xdr:ext cx="6669583" cy="564385"/>
    <xdr:sp macro="" textlink="">
      <xdr:nvSpPr>
        <xdr:cNvPr id="33" name="テキスト ボックス 32">
          <a:extLst>
            <a:ext uri="{FF2B5EF4-FFF2-40B4-BE49-F238E27FC236}">
              <a16:creationId xmlns:a16="http://schemas.microsoft.com/office/drawing/2014/main" id="{4E1C324D-AE3A-4344-AE82-C1CF98E48BDB}"/>
            </a:ext>
          </a:extLst>
        </xdr:cNvPr>
        <xdr:cNvSpPr txBox="1"/>
      </xdr:nvSpPr>
      <xdr:spPr>
        <a:xfrm>
          <a:off x="12217402" y="9175750"/>
          <a:ext cx="6669583" cy="564385"/>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注：電力消費にかかる温室効果ガス排出量は、</a:t>
          </a:r>
          <a:r>
            <a:rPr kumimoji="1" lang="en-US" altLang="ja-JP" sz="1100" b="1">
              <a:solidFill>
                <a:srgbClr val="FF0000"/>
              </a:solidFill>
            </a:rPr>
            <a:t>2030</a:t>
          </a:r>
          <a:r>
            <a:rPr kumimoji="1" lang="ja-JP" altLang="en-US" sz="1100" b="1">
              <a:solidFill>
                <a:srgbClr val="FF0000"/>
              </a:solidFill>
            </a:rPr>
            <a:t>年度の全電源平均の電力排出係数：</a:t>
          </a:r>
          <a:r>
            <a:rPr kumimoji="1" lang="en-US" altLang="ja-JP" sz="1100" b="1">
              <a:solidFill>
                <a:srgbClr val="FF0000"/>
              </a:solidFill>
            </a:rPr>
            <a:t>0.25kg-CO₂/kWh</a:t>
          </a:r>
        </a:p>
        <a:p>
          <a:r>
            <a:rPr kumimoji="1" lang="ja-JP" altLang="en-US" sz="1100" b="1">
              <a:solidFill>
                <a:srgbClr val="FF0000"/>
              </a:solidFill>
            </a:rPr>
            <a:t>（出典：</a:t>
          </a:r>
          <a:r>
            <a:rPr kumimoji="1" lang="en-US" altLang="ja-JP" sz="1100" b="1">
              <a:solidFill>
                <a:srgbClr val="FF0000"/>
              </a:solidFill>
            </a:rPr>
            <a:t>2030</a:t>
          </a:r>
          <a:r>
            <a:rPr kumimoji="1" lang="ja-JP" altLang="en-US" sz="1100" b="1">
              <a:solidFill>
                <a:srgbClr val="FF0000"/>
              </a:solidFill>
            </a:rPr>
            <a:t>年度におけるエネルギー需給の見通し）を用いて算出</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10</xdr:row>
      <xdr:rowOff>23695</xdr:rowOff>
    </xdr:from>
    <xdr:to>
      <xdr:col>5</xdr:col>
      <xdr:colOff>381049</xdr:colOff>
      <xdr:row>25</xdr:row>
      <xdr:rowOff>0</xdr:rowOff>
    </xdr:to>
    <xdr:pic>
      <xdr:nvPicPr>
        <xdr:cNvPr id="4" name="図 3">
          <a:extLst>
            <a:ext uri="{FF2B5EF4-FFF2-40B4-BE49-F238E27FC236}">
              <a16:creationId xmlns:a16="http://schemas.microsoft.com/office/drawing/2014/main" id="{3158FBE7-F97C-93FC-65F1-681D0F0A946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0" y="2471620"/>
          <a:ext cx="4962574" cy="3548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6</xdr:col>
      <xdr:colOff>348312</xdr:colOff>
      <xdr:row>51</xdr:row>
      <xdr:rowOff>179622</xdr:rowOff>
    </xdr:to>
    <xdr:pic>
      <xdr:nvPicPr>
        <xdr:cNvPr id="2" name="図 1">
          <a:extLst>
            <a:ext uri="{FF2B5EF4-FFF2-40B4-BE49-F238E27FC236}">
              <a16:creationId xmlns:a16="http://schemas.microsoft.com/office/drawing/2014/main" id="{67A757D8-D72B-F653-833E-A62F88E0D35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0" y="6515100"/>
          <a:ext cx="5291787" cy="63708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5</xdr:col>
      <xdr:colOff>522364</xdr:colOff>
      <xdr:row>47</xdr:row>
      <xdr:rowOff>179262</xdr:rowOff>
    </xdr:to>
    <xdr:pic>
      <xdr:nvPicPr>
        <xdr:cNvPr id="3" name="図 2">
          <a:extLst>
            <a:ext uri="{FF2B5EF4-FFF2-40B4-BE49-F238E27FC236}">
              <a16:creationId xmlns:a16="http://schemas.microsoft.com/office/drawing/2014/main" id="{BC66C054-ECFE-29E7-381F-1EBD7A90853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0" y="4829175"/>
          <a:ext cx="4541914" cy="66086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6</xdr:col>
      <xdr:colOff>118551</xdr:colOff>
      <xdr:row>38</xdr:row>
      <xdr:rowOff>97154</xdr:rowOff>
    </xdr:to>
    <xdr:pic>
      <xdr:nvPicPr>
        <xdr:cNvPr id="3" name="図 2">
          <a:extLst>
            <a:ext uri="{FF2B5EF4-FFF2-40B4-BE49-F238E27FC236}">
              <a16:creationId xmlns:a16="http://schemas.microsoft.com/office/drawing/2014/main" id="{D434D278-9CAC-1D1E-7A7B-C501F1A431B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0" y="4829175"/>
          <a:ext cx="5090601" cy="4383404"/>
        </a:xfrm>
        <a:prstGeom prst="rect">
          <a:avLst/>
        </a:prstGeom>
      </xdr:spPr>
    </xdr:pic>
    <xdr:clientData/>
  </xdr:twoCellAnchor>
  <xdr:twoCellAnchor editAs="oneCell">
    <xdr:from>
      <xdr:col>1</xdr:col>
      <xdr:colOff>0</xdr:colOff>
      <xdr:row>39</xdr:row>
      <xdr:rowOff>0</xdr:rowOff>
    </xdr:from>
    <xdr:to>
      <xdr:col>5</xdr:col>
      <xdr:colOff>833287</xdr:colOff>
      <xdr:row>68</xdr:row>
      <xdr:rowOff>215120</xdr:rowOff>
    </xdr:to>
    <xdr:pic>
      <xdr:nvPicPr>
        <xdr:cNvPr id="7" name="図 6">
          <a:extLst>
            <a:ext uri="{FF2B5EF4-FFF2-40B4-BE49-F238E27FC236}">
              <a16:creationId xmlns:a16="http://schemas.microsoft.com/office/drawing/2014/main" id="{61ABE02A-5927-72D9-F9FF-82674576FC1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5800" y="9353550"/>
          <a:ext cx="4852837" cy="71207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21</xdr:col>
      <xdr:colOff>105463</xdr:colOff>
      <xdr:row>23</xdr:row>
      <xdr:rowOff>20073</xdr:rowOff>
    </xdr:to>
    <xdr:pic>
      <xdr:nvPicPr>
        <xdr:cNvPr id="2" name="図 1">
          <a:extLst>
            <a:ext uri="{FF2B5EF4-FFF2-40B4-BE49-F238E27FC236}">
              <a16:creationId xmlns:a16="http://schemas.microsoft.com/office/drawing/2014/main" id="{455A7041-73FF-8309-17CC-7112CEB9365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351559" y="1714500"/>
          <a:ext cx="7669433" cy="4054191"/>
        </a:xfrm>
        <a:prstGeom prst="rect">
          <a:avLst/>
        </a:prstGeom>
      </xdr:spPr>
    </xdr:pic>
    <xdr:clientData/>
  </xdr:twoCellAnchor>
  <xdr:twoCellAnchor editAs="oneCell">
    <xdr:from>
      <xdr:col>1</xdr:col>
      <xdr:colOff>0</xdr:colOff>
      <xdr:row>39</xdr:row>
      <xdr:rowOff>0</xdr:rowOff>
    </xdr:from>
    <xdr:to>
      <xdr:col>6</xdr:col>
      <xdr:colOff>469961</xdr:colOff>
      <xdr:row>66</xdr:row>
      <xdr:rowOff>47620</xdr:rowOff>
    </xdr:to>
    <xdr:pic>
      <xdr:nvPicPr>
        <xdr:cNvPr id="3" name="図 2">
          <a:extLst>
            <a:ext uri="{FF2B5EF4-FFF2-40B4-BE49-F238E27FC236}">
              <a16:creationId xmlns:a16="http://schemas.microsoft.com/office/drawing/2014/main" id="{ECE468AE-0BBC-49E4-C1AC-5BA69FB1121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3559" y="9569824"/>
          <a:ext cx="6565961" cy="640135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95577</xdr:colOff>
      <xdr:row>7</xdr:row>
      <xdr:rowOff>62423</xdr:rowOff>
    </xdr:from>
    <xdr:to>
      <xdr:col>22</xdr:col>
      <xdr:colOff>0</xdr:colOff>
      <xdr:row>26</xdr:row>
      <xdr:rowOff>0</xdr:rowOff>
    </xdr:to>
    <xdr:pic>
      <xdr:nvPicPr>
        <xdr:cNvPr id="2" name="図 1">
          <a:extLst>
            <a:ext uri="{FF2B5EF4-FFF2-40B4-BE49-F238E27FC236}">
              <a16:creationId xmlns:a16="http://schemas.microsoft.com/office/drawing/2014/main" id="{D42FE056-18D4-D7BF-EA4B-9A43B4C2826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43934" y="1831352"/>
          <a:ext cx="8123137" cy="4591219"/>
        </a:xfrm>
        <a:prstGeom prst="rect">
          <a:avLst/>
        </a:prstGeom>
      </xdr:spPr>
    </xdr:pic>
    <xdr:clientData/>
  </xdr:twoCellAnchor>
  <xdr:twoCellAnchor editAs="oneCell">
    <xdr:from>
      <xdr:col>1</xdr:col>
      <xdr:colOff>0</xdr:colOff>
      <xdr:row>19</xdr:row>
      <xdr:rowOff>50314</xdr:rowOff>
    </xdr:from>
    <xdr:to>
      <xdr:col>8</xdr:col>
      <xdr:colOff>52794</xdr:colOff>
      <xdr:row>49</xdr:row>
      <xdr:rowOff>0</xdr:rowOff>
    </xdr:to>
    <xdr:pic>
      <xdr:nvPicPr>
        <xdr:cNvPr id="6" name="図 5">
          <a:extLst>
            <a:ext uri="{FF2B5EF4-FFF2-40B4-BE49-F238E27FC236}">
              <a16:creationId xmlns:a16="http://schemas.microsoft.com/office/drawing/2014/main" id="{70262E45-72C3-3A89-A11D-F7100ECF8C7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0357" y="4758385"/>
          <a:ext cx="7523116" cy="72975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0</xdr:colOff>
      <xdr:row>7</xdr:row>
      <xdr:rowOff>0</xdr:rowOff>
    </xdr:from>
    <xdr:to>
      <xdr:col>21</xdr:col>
      <xdr:colOff>441452</xdr:colOff>
      <xdr:row>27</xdr:row>
      <xdr:rowOff>145205</xdr:rowOff>
    </xdr:to>
    <xdr:pic>
      <xdr:nvPicPr>
        <xdr:cNvPr id="3" name="図 2">
          <a:extLst>
            <a:ext uri="{FF2B5EF4-FFF2-40B4-BE49-F238E27FC236}">
              <a16:creationId xmlns:a16="http://schemas.microsoft.com/office/drawing/2014/main" id="{CA4DAA3D-A158-CF42-EDCF-7CA2264CC29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348357" y="1768929"/>
          <a:ext cx="7299452" cy="5043776"/>
        </a:xfrm>
        <a:prstGeom prst="rect">
          <a:avLst/>
        </a:prstGeom>
      </xdr:spPr>
    </xdr:pic>
    <xdr:clientData/>
  </xdr:twoCellAnchor>
  <xdr:twoCellAnchor editAs="oneCell">
    <xdr:from>
      <xdr:col>1</xdr:col>
      <xdr:colOff>0</xdr:colOff>
      <xdr:row>21</xdr:row>
      <xdr:rowOff>0</xdr:rowOff>
    </xdr:from>
    <xdr:to>
      <xdr:col>7</xdr:col>
      <xdr:colOff>509634</xdr:colOff>
      <xdr:row>61</xdr:row>
      <xdr:rowOff>18268</xdr:rowOff>
    </xdr:to>
    <xdr:pic>
      <xdr:nvPicPr>
        <xdr:cNvPr id="4" name="図 3">
          <a:extLst>
            <a:ext uri="{FF2B5EF4-FFF2-40B4-BE49-F238E27FC236}">
              <a16:creationId xmlns:a16="http://schemas.microsoft.com/office/drawing/2014/main" id="{CEA44F21-FD36-B40C-21F4-942E38DA2E5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0357" y="4708071"/>
          <a:ext cx="7760881" cy="981541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7.bin"/><Relationship Id="rId1" Type="http://schemas.openxmlformats.org/officeDocument/2006/relationships/hyperlink" Target="https://www.mlit.go.jp/mizukokudo/sewerage/mizukokudo_sewerage_tk_000364.html"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mlit.go.jp/mizukokudo/sewerage/mizukokudo_sewerage_tk_000379.html" TargetMode="External"/><Relationship Id="rId2" Type="http://schemas.openxmlformats.org/officeDocument/2006/relationships/hyperlink" Target="https://www.env.go.jp/earth/ondanka/gel/ghg-guideline/sewer/manuals.html" TargetMode="External"/><Relationship Id="rId1" Type="http://schemas.openxmlformats.org/officeDocument/2006/relationships/hyperlink" Target="https://sewage-tech.net/" TargetMode="External"/><Relationship Id="rId6" Type="http://schemas.openxmlformats.org/officeDocument/2006/relationships/printerSettings" Target="../printerSettings/printerSettings5.bin"/><Relationship Id="rId5" Type="http://schemas.openxmlformats.org/officeDocument/2006/relationships/hyperlink" Target="https://www.jiwet.or.jp/publicity/publication/manuals" TargetMode="External"/><Relationship Id="rId4" Type="http://schemas.openxmlformats.org/officeDocument/2006/relationships/hyperlink" Target="https://www.jiwet.or.jp/publicity/publication/manual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71696-103B-4F36-99FA-A3AB8AB2CABE}">
  <dimension ref="B1:F10"/>
  <sheetViews>
    <sheetView showGridLines="0" tabSelected="1" workbookViewId="0"/>
  </sheetViews>
  <sheetFormatPr defaultRowHeight="18" x14ac:dyDescent="0.45"/>
  <cols>
    <col min="1" max="1" width="1" customWidth="1"/>
    <col min="2" max="2" width="56.3984375" customWidth="1"/>
    <col min="3" max="3" width="1.3984375" customWidth="1"/>
    <col min="4" max="4" width="4.8984375" customWidth="1"/>
    <col min="5" max="6" width="14" customWidth="1"/>
  </cols>
  <sheetData>
    <row r="1" spans="2:6" ht="36" x14ac:dyDescent="0.45">
      <c r="B1" s="369" t="s">
        <v>1314</v>
      </c>
      <c r="C1" s="369"/>
      <c r="D1" s="373"/>
      <c r="E1" s="373"/>
      <c r="F1" s="373"/>
    </row>
    <row r="2" spans="2:6" x14ac:dyDescent="0.45">
      <c r="B2" s="369" t="s">
        <v>1315</v>
      </c>
      <c r="C2" s="369"/>
      <c r="D2" s="373"/>
      <c r="E2" s="373"/>
      <c r="F2" s="373"/>
    </row>
    <row r="3" spans="2:6" x14ac:dyDescent="0.45">
      <c r="B3" s="370"/>
      <c r="C3" s="370"/>
      <c r="D3" s="374"/>
      <c r="E3" s="374"/>
      <c r="F3" s="374"/>
    </row>
    <row r="4" spans="2:6" ht="54" x14ac:dyDescent="0.45">
      <c r="B4" s="370" t="s">
        <v>1316</v>
      </c>
      <c r="C4" s="370"/>
      <c r="D4" s="374"/>
      <c r="E4" s="374"/>
      <c r="F4" s="374"/>
    </row>
    <row r="5" spans="2:6" x14ac:dyDescent="0.45">
      <c r="B5" s="370"/>
      <c r="C5" s="370"/>
      <c r="D5" s="374"/>
      <c r="E5" s="374"/>
      <c r="F5" s="374"/>
    </row>
    <row r="6" spans="2:6" x14ac:dyDescent="0.45">
      <c r="B6" s="369" t="s">
        <v>1317</v>
      </c>
      <c r="C6" s="369"/>
      <c r="D6" s="373"/>
      <c r="E6" s="373" t="s">
        <v>1318</v>
      </c>
      <c r="F6" s="373" t="s">
        <v>1319</v>
      </c>
    </row>
    <row r="7" spans="2:6" ht="18.600000000000001" thickBot="1" x14ac:dyDescent="0.5">
      <c r="B7" s="370"/>
      <c r="C7" s="370"/>
      <c r="D7" s="374"/>
      <c r="E7" s="374"/>
      <c r="F7" s="374"/>
    </row>
    <row r="8" spans="2:6" ht="72.599999999999994" thickBot="1" x14ac:dyDescent="0.5">
      <c r="B8" s="371" t="s">
        <v>1320</v>
      </c>
      <c r="C8" s="372"/>
      <c r="D8" s="375"/>
      <c r="E8" s="375">
        <v>442</v>
      </c>
      <c r="F8" s="376" t="s">
        <v>1321</v>
      </c>
    </row>
    <row r="9" spans="2:6" x14ac:dyDescent="0.45">
      <c r="B9" s="370"/>
      <c r="C9" s="370"/>
      <c r="D9" s="374"/>
      <c r="E9" s="374"/>
      <c r="F9" s="374"/>
    </row>
    <row r="10" spans="2:6" x14ac:dyDescent="0.45">
      <c r="B10" s="370"/>
      <c r="C10" s="370"/>
      <c r="D10" s="374"/>
      <c r="E10" s="374"/>
      <c r="F10" s="374"/>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34474-96AE-4067-A0DC-88DEBF8B47A5}">
  <sheetPr>
    <tabColor rgb="FF0070C0"/>
  </sheetPr>
  <dimension ref="B2:M42"/>
  <sheetViews>
    <sheetView zoomScale="80" zoomScaleNormal="80" workbookViewId="0"/>
  </sheetViews>
  <sheetFormatPr defaultRowHeight="18" x14ac:dyDescent="0.45"/>
  <cols>
    <col min="2" max="2" width="10.5" customWidth="1"/>
    <col min="3" max="4" width="11" bestFit="1" customWidth="1"/>
    <col min="5" max="5" width="19.8984375" customWidth="1"/>
    <col min="6" max="6" width="12.5" customWidth="1"/>
    <col min="7" max="7" width="15.8984375" customWidth="1"/>
    <col min="8" max="8" width="22.3984375" customWidth="1"/>
    <col min="9" max="9" width="12.09765625" customWidth="1"/>
    <col min="10" max="10" width="10.19921875" customWidth="1"/>
    <col min="11" max="11" width="15.09765625" bestFit="1" customWidth="1"/>
    <col min="13" max="13" width="17" customWidth="1"/>
    <col min="14" max="14" width="21.19921875" bestFit="1" customWidth="1"/>
    <col min="15" max="15" width="7.09765625" bestFit="1" customWidth="1"/>
  </cols>
  <sheetData>
    <row r="2" spans="2:13" ht="22.2" x14ac:dyDescent="0.45">
      <c r="B2" s="28" t="s">
        <v>138</v>
      </c>
      <c r="M2" s="242" t="s">
        <v>1145</v>
      </c>
    </row>
    <row r="3" spans="2:13" x14ac:dyDescent="0.45">
      <c r="B3" s="32" t="s">
        <v>94</v>
      </c>
      <c r="C3" s="33"/>
      <c r="D3" s="33"/>
      <c r="E3" s="33"/>
      <c r="H3" s="18"/>
      <c r="I3" t="s">
        <v>79</v>
      </c>
    </row>
    <row r="4" spans="2:13" x14ac:dyDescent="0.45">
      <c r="B4" s="310" t="s">
        <v>97</v>
      </c>
      <c r="C4" s="311"/>
      <c r="D4" s="311"/>
      <c r="E4" s="311"/>
      <c r="H4" s="7"/>
      <c r="I4" t="s">
        <v>80</v>
      </c>
    </row>
    <row r="5" spans="2:13" x14ac:dyDescent="0.45">
      <c r="H5" s="332"/>
      <c r="I5" t="s">
        <v>1243</v>
      </c>
    </row>
    <row r="6" spans="2:13" x14ac:dyDescent="0.45">
      <c r="H6" s="11"/>
      <c r="I6" t="s">
        <v>81</v>
      </c>
    </row>
    <row r="7" spans="2:13" x14ac:dyDescent="0.45">
      <c r="B7" s="31" t="s">
        <v>129</v>
      </c>
      <c r="C7" s="4"/>
    </row>
    <row r="8" spans="2:13" x14ac:dyDescent="0.45">
      <c r="B8" s="31" t="s">
        <v>1264</v>
      </c>
      <c r="C8" s="4"/>
    </row>
    <row r="10" spans="2:13" x14ac:dyDescent="0.45">
      <c r="B10" s="407" t="s">
        <v>153</v>
      </c>
      <c r="C10" s="407"/>
      <c r="D10" s="432" t="s">
        <v>123</v>
      </c>
      <c r="E10" s="433"/>
    </row>
    <row r="11" spans="2:13" x14ac:dyDescent="0.45">
      <c r="B11" s="407" t="s">
        <v>122</v>
      </c>
      <c r="C11" s="407"/>
      <c r="D11" s="57"/>
      <c r="E11" s="11" t="s">
        <v>84</v>
      </c>
    </row>
    <row r="12" spans="2:13" x14ac:dyDescent="0.45">
      <c r="B12" s="407" t="s">
        <v>85</v>
      </c>
      <c r="C12" s="407"/>
      <c r="D12" s="8"/>
      <c r="E12" s="11" t="s">
        <v>86</v>
      </c>
      <c r="F12" s="4" t="s">
        <v>124</v>
      </c>
    </row>
    <row r="13" spans="2:13" x14ac:dyDescent="0.45">
      <c r="B13" s="407" t="s">
        <v>88</v>
      </c>
      <c r="C13" s="407"/>
      <c r="D13" s="8"/>
      <c r="E13" s="11" t="s">
        <v>89</v>
      </c>
      <c r="F13" s="4" t="s">
        <v>90</v>
      </c>
    </row>
    <row r="14" spans="2:13" x14ac:dyDescent="0.45">
      <c r="B14" s="407" t="s">
        <v>91</v>
      </c>
      <c r="C14" s="407"/>
      <c r="D14" s="56">
        <f>(D11*D12/100)*D13/100</f>
        <v>0</v>
      </c>
      <c r="E14" s="11" t="s">
        <v>84</v>
      </c>
      <c r="F14" s="4" t="s">
        <v>95</v>
      </c>
    </row>
    <row r="15" spans="2:13" x14ac:dyDescent="0.45">
      <c r="B15" s="407" t="s">
        <v>70</v>
      </c>
      <c r="C15" s="407"/>
      <c r="D15" s="332">
        <f>ツール入力シート!C13</f>
        <v>0.25</v>
      </c>
      <c r="E15" s="11" t="s">
        <v>92</v>
      </c>
    </row>
    <row r="16" spans="2:13" x14ac:dyDescent="0.45">
      <c r="B16" s="431" t="s">
        <v>93</v>
      </c>
      <c r="C16" s="431"/>
      <c r="D16" s="313">
        <f>D14*D15</f>
        <v>0</v>
      </c>
      <c r="E16" s="312" t="s">
        <v>21</v>
      </c>
    </row>
    <row r="19" spans="2:6" ht="18.600000000000001" thickBot="1" x14ac:dyDescent="0.5">
      <c r="B19" s="434" t="s">
        <v>125</v>
      </c>
      <c r="C19" s="434"/>
      <c r="D19" s="434"/>
      <c r="E19" s="434"/>
      <c r="F19" s="4"/>
    </row>
    <row r="20" spans="2:6" x14ac:dyDescent="0.45">
      <c r="B20" s="60"/>
      <c r="C20" s="61" t="s">
        <v>130</v>
      </c>
      <c r="D20" s="61" t="s">
        <v>131</v>
      </c>
      <c r="E20" s="62" t="s">
        <v>131</v>
      </c>
      <c r="F20" s="59"/>
    </row>
    <row r="21" spans="2:6" ht="36" x14ac:dyDescent="0.45">
      <c r="B21" s="63"/>
      <c r="C21" s="17" t="s">
        <v>134</v>
      </c>
      <c r="D21" s="17" t="s">
        <v>135</v>
      </c>
      <c r="E21" s="64" t="s">
        <v>136</v>
      </c>
      <c r="F21" s="59"/>
    </row>
    <row r="22" spans="2:6" ht="36" x14ac:dyDescent="0.45">
      <c r="B22" s="65" t="s">
        <v>132</v>
      </c>
      <c r="C22" s="66">
        <v>1200</v>
      </c>
      <c r="D22" s="66">
        <v>1352</v>
      </c>
      <c r="E22" s="67">
        <v>1400</v>
      </c>
      <c r="F22" s="59"/>
    </row>
    <row r="23" spans="2:6" ht="18.600000000000001" thickBot="1" x14ac:dyDescent="0.5">
      <c r="B23" s="68" t="s">
        <v>137</v>
      </c>
      <c r="C23" s="69"/>
      <c r="D23" s="70">
        <f>(D22-C22)/D22*100</f>
        <v>11.242603550295858</v>
      </c>
      <c r="E23" s="71">
        <f>(E22-C22)/E22*100</f>
        <v>14.285714285714285</v>
      </c>
      <c r="F23" s="59"/>
    </row>
    <row r="24" spans="2:6" x14ac:dyDescent="0.45">
      <c r="F24" s="59"/>
    </row>
    <row r="25" spans="2:6" x14ac:dyDescent="0.45">
      <c r="B25" t="s">
        <v>133</v>
      </c>
    </row>
    <row r="41" spans="7:10" x14ac:dyDescent="0.45">
      <c r="G41" s="58"/>
    </row>
    <row r="42" spans="7:10" x14ac:dyDescent="0.45">
      <c r="I42" s="40"/>
      <c r="J42" s="40"/>
    </row>
  </sheetData>
  <mergeCells count="9">
    <mergeCell ref="B19:E19"/>
    <mergeCell ref="B15:C15"/>
    <mergeCell ref="B16:C16"/>
    <mergeCell ref="B10:C10"/>
    <mergeCell ref="D10:E10"/>
    <mergeCell ref="B11:C11"/>
    <mergeCell ref="B12:C12"/>
    <mergeCell ref="B13:C13"/>
    <mergeCell ref="B14:C14"/>
  </mergeCells>
  <phoneticPr fontId="2"/>
  <hyperlinks>
    <hyperlink ref="M2" location="水処理対策シート!A1" display="クリックで対策シートに戻る" xr:uid="{4A7DB6A1-B5AC-4756-AC26-4C17A348374F}"/>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274DA-D245-450E-8FC3-E20C7A6B1DEF}">
  <sheetPr>
    <tabColor rgb="FF0070C0"/>
    <pageSetUpPr fitToPage="1"/>
  </sheetPr>
  <dimension ref="B2:M37"/>
  <sheetViews>
    <sheetView zoomScale="80" zoomScaleNormal="80" workbookViewId="0"/>
  </sheetViews>
  <sheetFormatPr defaultRowHeight="18" x14ac:dyDescent="0.45"/>
  <cols>
    <col min="2" max="2" width="10.5" customWidth="1"/>
    <col min="3" max="4" width="11" bestFit="1" customWidth="1"/>
    <col min="5" max="5" width="20.19921875" customWidth="1"/>
    <col min="6" max="6" width="12.5" customWidth="1"/>
    <col min="7" max="7" width="15.8984375" customWidth="1"/>
    <col min="8" max="8" width="22.3984375" customWidth="1"/>
    <col min="9" max="9" width="12.09765625" customWidth="1"/>
    <col min="10" max="10" width="10.19921875" customWidth="1"/>
    <col min="11" max="11" width="15.09765625" bestFit="1" customWidth="1"/>
    <col min="13" max="13" width="17" customWidth="1"/>
    <col min="14" max="14" width="21.19921875" bestFit="1" customWidth="1"/>
    <col min="15" max="15" width="7.09765625" bestFit="1" customWidth="1"/>
  </cols>
  <sheetData>
    <row r="2" spans="2:13" ht="22.2" x14ac:dyDescent="0.45">
      <c r="B2" s="28" t="s">
        <v>143</v>
      </c>
      <c r="M2" s="242" t="s">
        <v>1145</v>
      </c>
    </row>
    <row r="3" spans="2:13" x14ac:dyDescent="0.45">
      <c r="B3" s="32" t="s">
        <v>94</v>
      </c>
      <c r="C3" s="33"/>
      <c r="D3" s="33"/>
      <c r="E3" s="33"/>
      <c r="H3" s="18"/>
      <c r="I3" t="s">
        <v>79</v>
      </c>
    </row>
    <row r="4" spans="2:13" x14ac:dyDescent="0.45">
      <c r="B4" s="310" t="s">
        <v>97</v>
      </c>
      <c r="C4" s="311"/>
      <c r="D4" s="311"/>
      <c r="E4" s="311"/>
      <c r="H4" s="7"/>
      <c r="I4" t="s">
        <v>80</v>
      </c>
    </row>
    <row r="5" spans="2:13" x14ac:dyDescent="0.45">
      <c r="H5" s="332"/>
      <c r="I5" t="s">
        <v>1243</v>
      </c>
    </row>
    <row r="6" spans="2:13" x14ac:dyDescent="0.45">
      <c r="H6" s="11"/>
      <c r="I6" t="s">
        <v>81</v>
      </c>
    </row>
    <row r="7" spans="2:13" x14ac:dyDescent="0.45">
      <c r="B7" s="31" t="s">
        <v>144</v>
      </c>
      <c r="C7" s="4"/>
    </row>
    <row r="8" spans="2:13" x14ac:dyDescent="0.45">
      <c r="B8" s="31" t="s">
        <v>1264</v>
      </c>
      <c r="C8" s="4"/>
    </row>
    <row r="10" spans="2:13" x14ac:dyDescent="0.45">
      <c r="B10" s="407" t="s">
        <v>153</v>
      </c>
      <c r="C10" s="407"/>
      <c r="D10" s="73" t="s">
        <v>123</v>
      </c>
      <c r="E10" s="74"/>
    </row>
    <row r="11" spans="2:13" x14ac:dyDescent="0.45">
      <c r="B11" s="407" t="s">
        <v>122</v>
      </c>
      <c r="C11" s="407"/>
      <c r="D11" s="57"/>
      <c r="E11" s="11" t="s">
        <v>84</v>
      </c>
    </row>
    <row r="12" spans="2:13" x14ac:dyDescent="0.45">
      <c r="B12" s="407" t="s">
        <v>85</v>
      </c>
      <c r="C12" s="407"/>
      <c r="D12" s="72">
        <v>50</v>
      </c>
      <c r="E12" s="11" t="s">
        <v>86</v>
      </c>
      <c r="F12" s="4" t="s">
        <v>146</v>
      </c>
    </row>
    <row r="13" spans="2:13" x14ac:dyDescent="0.45">
      <c r="B13" s="407" t="s">
        <v>88</v>
      </c>
      <c r="C13" s="407"/>
      <c r="D13" s="8"/>
      <c r="E13" s="11" t="s">
        <v>89</v>
      </c>
      <c r="F13" s="4" t="s">
        <v>90</v>
      </c>
    </row>
    <row r="14" spans="2:13" x14ac:dyDescent="0.45">
      <c r="B14" s="407" t="s">
        <v>91</v>
      </c>
      <c r="C14" s="407"/>
      <c r="D14" s="56">
        <f>(D11*D12/100)*D13/100</f>
        <v>0</v>
      </c>
      <c r="E14" s="11" t="s">
        <v>84</v>
      </c>
      <c r="F14" s="4" t="s">
        <v>95</v>
      </c>
    </row>
    <row r="15" spans="2:13" x14ac:dyDescent="0.45">
      <c r="B15" s="407" t="s">
        <v>70</v>
      </c>
      <c r="C15" s="407"/>
      <c r="D15" s="332">
        <f>ツール入力シート!C13</f>
        <v>0.25</v>
      </c>
      <c r="E15" s="11" t="s">
        <v>92</v>
      </c>
    </row>
    <row r="16" spans="2:13" x14ac:dyDescent="0.45">
      <c r="B16" s="431" t="s">
        <v>93</v>
      </c>
      <c r="C16" s="431"/>
      <c r="D16" s="313">
        <f>D14*D15</f>
        <v>0</v>
      </c>
      <c r="E16" s="312" t="s">
        <v>21</v>
      </c>
    </row>
    <row r="20" spans="2:2" x14ac:dyDescent="0.45">
      <c r="B20" t="s">
        <v>145</v>
      </c>
    </row>
    <row r="36" spans="7:10" x14ac:dyDescent="0.45">
      <c r="G36" s="58"/>
    </row>
    <row r="37" spans="7:10" x14ac:dyDescent="0.45">
      <c r="I37" s="40"/>
      <c r="J37" s="40"/>
    </row>
  </sheetData>
  <mergeCells count="7">
    <mergeCell ref="B15:C15"/>
    <mergeCell ref="B16:C16"/>
    <mergeCell ref="B10:C10"/>
    <mergeCell ref="B11:C11"/>
    <mergeCell ref="B12:C12"/>
    <mergeCell ref="B13:C13"/>
    <mergeCell ref="B14:C14"/>
  </mergeCells>
  <phoneticPr fontId="2"/>
  <hyperlinks>
    <hyperlink ref="M2" location="水処理対策シート!A1" display="クリックで対策シートに戻る" xr:uid="{ABDE7C72-8B48-43D5-9598-C1B8FC9B0275}"/>
  </hyperlinks>
  <pageMargins left="0.7" right="0.7" top="0.75" bottom="0.75" header="0.3" footer="0.3"/>
  <pageSetup paperSize="9" scale="82" fitToWidth="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58F81-18D3-45C4-9839-2C14CE3B61BB}">
  <sheetPr>
    <tabColor rgb="FF0070C0"/>
  </sheetPr>
  <dimension ref="B2:M36"/>
  <sheetViews>
    <sheetView zoomScale="80" zoomScaleNormal="80" workbookViewId="0"/>
  </sheetViews>
  <sheetFormatPr defaultRowHeight="18" x14ac:dyDescent="0.45"/>
  <cols>
    <col min="2" max="2" width="10.5" customWidth="1"/>
    <col min="3" max="4" width="11" bestFit="1" customWidth="1"/>
    <col min="5" max="5" width="20.19921875" customWidth="1"/>
    <col min="6" max="6" width="12.5" customWidth="1"/>
    <col min="7" max="7" width="15.8984375" customWidth="1"/>
    <col min="8" max="8" width="22.3984375" customWidth="1"/>
    <col min="9" max="9" width="12.09765625" customWidth="1"/>
    <col min="10" max="10" width="10.19921875" customWidth="1"/>
    <col min="11" max="11" width="15.09765625" bestFit="1" customWidth="1"/>
    <col min="13" max="13" width="17" customWidth="1"/>
    <col min="14" max="14" width="21.19921875" bestFit="1" customWidth="1"/>
    <col min="15" max="15" width="7.09765625" bestFit="1" customWidth="1"/>
  </cols>
  <sheetData>
    <row r="2" spans="2:13" ht="22.2" x14ac:dyDescent="0.45">
      <c r="B2" s="28" t="s">
        <v>202</v>
      </c>
      <c r="M2" s="242" t="s">
        <v>1145</v>
      </c>
    </row>
    <row r="3" spans="2:13" x14ac:dyDescent="0.45">
      <c r="B3" s="32" t="s">
        <v>94</v>
      </c>
      <c r="C3" s="33"/>
      <c r="D3" s="33"/>
      <c r="E3" s="33"/>
      <c r="H3" s="18"/>
      <c r="I3" t="s">
        <v>79</v>
      </c>
    </row>
    <row r="4" spans="2:13" x14ac:dyDescent="0.45">
      <c r="B4" s="310" t="s">
        <v>97</v>
      </c>
      <c r="C4" s="311"/>
      <c r="D4" s="311"/>
      <c r="E4" s="311"/>
      <c r="H4" s="7"/>
      <c r="I4" t="s">
        <v>80</v>
      </c>
    </row>
    <row r="5" spans="2:13" x14ac:dyDescent="0.45">
      <c r="H5" s="332"/>
      <c r="I5" t="s">
        <v>1243</v>
      </c>
    </row>
    <row r="6" spans="2:13" x14ac:dyDescent="0.45">
      <c r="H6" s="11"/>
      <c r="I6" t="s">
        <v>81</v>
      </c>
    </row>
    <row r="7" spans="2:13" x14ac:dyDescent="0.45">
      <c r="B7" s="31" t="s">
        <v>144</v>
      </c>
      <c r="C7" s="4"/>
    </row>
    <row r="8" spans="2:13" x14ac:dyDescent="0.45">
      <c r="B8" s="31" t="s">
        <v>1264</v>
      </c>
      <c r="C8" s="4"/>
    </row>
    <row r="10" spans="2:13" x14ac:dyDescent="0.45">
      <c r="B10" s="407" t="s">
        <v>153</v>
      </c>
      <c r="C10" s="407"/>
      <c r="D10" s="73" t="s">
        <v>123</v>
      </c>
      <c r="E10" s="74"/>
    </row>
    <row r="11" spans="2:13" x14ac:dyDescent="0.45">
      <c r="B11" s="407" t="s">
        <v>200</v>
      </c>
      <c r="C11" s="407"/>
      <c r="D11" s="57"/>
      <c r="E11" s="11" t="s">
        <v>84</v>
      </c>
      <c r="F11" s="4" t="s">
        <v>201</v>
      </c>
    </row>
    <row r="12" spans="2:13" x14ac:dyDescent="0.45">
      <c r="B12" s="407" t="s">
        <v>85</v>
      </c>
      <c r="C12" s="407"/>
      <c r="D12" s="72">
        <v>81</v>
      </c>
      <c r="E12" s="11" t="s">
        <v>86</v>
      </c>
      <c r="F12" s="4"/>
    </row>
    <row r="13" spans="2:13" x14ac:dyDescent="0.45">
      <c r="B13" s="407" t="s">
        <v>88</v>
      </c>
      <c r="C13" s="407"/>
      <c r="D13" s="8"/>
      <c r="E13" s="11" t="s">
        <v>89</v>
      </c>
      <c r="F13" s="4" t="s">
        <v>90</v>
      </c>
    </row>
    <row r="14" spans="2:13" x14ac:dyDescent="0.45">
      <c r="B14" s="407" t="s">
        <v>91</v>
      </c>
      <c r="C14" s="407"/>
      <c r="D14" s="56">
        <f>(D11*D12/100)*D13/100</f>
        <v>0</v>
      </c>
      <c r="E14" s="11" t="s">
        <v>84</v>
      </c>
      <c r="F14" s="4" t="s">
        <v>95</v>
      </c>
    </row>
    <row r="15" spans="2:13" x14ac:dyDescent="0.45">
      <c r="B15" s="407" t="s">
        <v>70</v>
      </c>
      <c r="C15" s="407"/>
      <c r="D15" s="332">
        <f>ツール入力シート!C13</f>
        <v>0.25</v>
      </c>
      <c r="E15" s="11" t="s">
        <v>92</v>
      </c>
    </row>
    <row r="16" spans="2:13" x14ac:dyDescent="0.45">
      <c r="B16" s="431" t="s">
        <v>93</v>
      </c>
      <c r="C16" s="431"/>
      <c r="D16" s="313">
        <f>D14*D15</f>
        <v>0</v>
      </c>
      <c r="E16" s="312" t="s">
        <v>21</v>
      </c>
    </row>
    <row r="20" spans="2:2" x14ac:dyDescent="0.45">
      <c r="B20" t="s">
        <v>199</v>
      </c>
    </row>
    <row r="35" spans="7:10" x14ac:dyDescent="0.45">
      <c r="G35" s="58"/>
    </row>
    <row r="36" spans="7:10" x14ac:dyDescent="0.45">
      <c r="I36" s="40"/>
      <c r="J36" s="40"/>
    </row>
  </sheetData>
  <mergeCells count="7">
    <mergeCell ref="B16:C16"/>
    <mergeCell ref="B10:C10"/>
    <mergeCell ref="B11:C11"/>
    <mergeCell ref="B12:C12"/>
    <mergeCell ref="B13:C13"/>
    <mergeCell ref="B14:C14"/>
    <mergeCell ref="B15:C15"/>
  </mergeCells>
  <phoneticPr fontId="2"/>
  <hyperlinks>
    <hyperlink ref="M2" location="水処理対策シート!A1" display="クリックで対策シートに戻る" xr:uid="{EE2EC7C0-9618-43C2-B45D-16DA5C049065}"/>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62DAC-F5D4-4046-8066-B597C38F988A}">
  <sheetPr>
    <tabColor rgb="FF0070C0"/>
  </sheetPr>
  <dimension ref="B2:M39"/>
  <sheetViews>
    <sheetView zoomScale="80" zoomScaleNormal="80" workbookViewId="0"/>
  </sheetViews>
  <sheetFormatPr defaultRowHeight="18" x14ac:dyDescent="0.45"/>
  <cols>
    <col min="2" max="2" width="10.5" customWidth="1"/>
    <col min="3" max="3" width="11" customWidth="1"/>
    <col min="4" max="4" width="14.69921875" customWidth="1"/>
    <col min="5" max="5" width="31.19921875" customWidth="1"/>
    <col min="6" max="6" width="12.5" customWidth="1"/>
    <col min="11" max="11" width="15.09765625" bestFit="1" customWidth="1"/>
    <col min="13" max="13" width="17" customWidth="1"/>
    <col min="14" max="14" width="21.19921875" bestFit="1" customWidth="1"/>
    <col min="15" max="15" width="7.09765625" bestFit="1" customWidth="1"/>
  </cols>
  <sheetData>
    <row r="2" spans="2:13" ht="22.2" x14ac:dyDescent="0.45">
      <c r="B2" s="28" t="s">
        <v>203</v>
      </c>
      <c r="M2" s="242" t="s">
        <v>1145</v>
      </c>
    </row>
    <row r="3" spans="2:13" x14ac:dyDescent="0.45">
      <c r="B3" s="32" t="s">
        <v>94</v>
      </c>
      <c r="C3" s="33"/>
      <c r="D3" s="33"/>
      <c r="E3" s="33"/>
      <c r="H3" s="18"/>
      <c r="I3" t="s">
        <v>79</v>
      </c>
    </row>
    <row r="4" spans="2:13" x14ac:dyDescent="0.45">
      <c r="B4" s="310" t="s">
        <v>97</v>
      </c>
      <c r="C4" s="311"/>
      <c r="D4" s="311"/>
      <c r="E4" s="311"/>
      <c r="H4" s="7"/>
      <c r="I4" t="s">
        <v>80</v>
      </c>
    </row>
    <row r="5" spans="2:13" x14ac:dyDescent="0.45">
      <c r="H5" s="332"/>
      <c r="I5" t="s">
        <v>1243</v>
      </c>
    </row>
    <row r="6" spans="2:13" x14ac:dyDescent="0.45">
      <c r="H6" s="11"/>
      <c r="I6" t="s">
        <v>81</v>
      </c>
    </row>
    <row r="7" spans="2:13" x14ac:dyDescent="0.45">
      <c r="B7" s="31" t="s">
        <v>126</v>
      </c>
      <c r="C7" s="4"/>
      <c r="M7" s="4" t="s">
        <v>213</v>
      </c>
    </row>
    <row r="8" spans="2:13" x14ac:dyDescent="0.45">
      <c r="B8" s="31" t="s">
        <v>1265</v>
      </c>
      <c r="C8" s="4"/>
      <c r="M8" s="4"/>
    </row>
    <row r="10" spans="2:13" x14ac:dyDescent="0.45">
      <c r="B10" s="407" t="s">
        <v>153</v>
      </c>
      <c r="C10" s="407"/>
      <c r="D10" s="432" t="s">
        <v>154</v>
      </c>
      <c r="E10" s="433"/>
    </row>
    <row r="11" spans="2:13" x14ac:dyDescent="0.45">
      <c r="B11" s="407" t="s">
        <v>122</v>
      </c>
      <c r="C11" s="407"/>
      <c r="D11" s="57"/>
      <c r="E11" s="11" t="s">
        <v>84</v>
      </c>
    </row>
    <row r="12" spans="2:13" x14ac:dyDescent="0.45">
      <c r="B12" s="407" t="s">
        <v>85</v>
      </c>
      <c r="C12" s="407"/>
      <c r="D12" s="8"/>
      <c r="E12" s="11" t="s">
        <v>86</v>
      </c>
      <c r="F12" s="4" t="s">
        <v>124</v>
      </c>
    </row>
    <row r="13" spans="2:13" x14ac:dyDescent="0.45">
      <c r="B13" s="407" t="s">
        <v>88</v>
      </c>
      <c r="C13" s="407"/>
      <c r="D13" s="8"/>
      <c r="E13" s="11" t="s">
        <v>89</v>
      </c>
      <c r="F13" s="4" t="s">
        <v>90</v>
      </c>
    </row>
    <row r="14" spans="2:13" x14ac:dyDescent="0.45">
      <c r="B14" s="407" t="s">
        <v>91</v>
      </c>
      <c r="C14" s="407"/>
      <c r="D14" s="56">
        <f>(D11*D12/100)*D13/100</f>
        <v>0</v>
      </c>
      <c r="E14" s="11" t="s">
        <v>84</v>
      </c>
      <c r="F14" s="4" t="s">
        <v>95</v>
      </c>
    </row>
    <row r="15" spans="2:13" x14ac:dyDescent="0.45">
      <c r="B15" s="407" t="s">
        <v>70</v>
      </c>
      <c r="C15" s="407"/>
      <c r="D15" s="332">
        <f>ツール入力シート!C13</f>
        <v>0.25</v>
      </c>
      <c r="E15" s="11" t="s">
        <v>92</v>
      </c>
    </row>
    <row r="16" spans="2:13" x14ac:dyDescent="0.45">
      <c r="B16" s="431" t="s">
        <v>93</v>
      </c>
      <c r="C16" s="431"/>
      <c r="D16" s="313">
        <f>D14*D15</f>
        <v>0</v>
      </c>
      <c r="E16" s="312" t="s">
        <v>21</v>
      </c>
    </row>
    <row r="19" spans="2:6" ht="18.600000000000001" thickBot="1" x14ac:dyDescent="0.5">
      <c r="B19" s="440" t="s">
        <v>125</v>
      </c>
      <c r="C19" s="440"/>
      <c r="D19" s="440"/>
      <c r="E19" s="440"/>
      <c r="F19" s="440"/>
    </row>
    <row r="20" spans="2:6" ht="36.6" thickBot="1" x14ac:dyDescent="0.5">
      <c r="B20" s="47" t="s">
        <v>121</v>
      </c>
      <c r="C20" s="48" t="s">
        <v>69</v>
      </c>
      <c r="D20" s="48" t="s">
        <v>112</v>
      </c>
      <c r="E20" s="49" t="s">
        <v>120</v>
      </c>
      <c r="F20" s="55" t="s">
        <v>85</v>
      </c>
    </row>
    <row r="21" spans="2:6" x14ac:dyDescent="0.45">
      <c r="B21" s="435" t="s">
        <v>116</v>
      </c>
      <c r="C21" s="437" t="s">
        <v>39</v>
      </c>
      <c r="D21" s="41" t="s">
        <v>113</v>
      </c>
      <c r="E21" s="42">
        <v>2610</v>
      </c>
      <c r="F21" s="50">
        <f>(E21-$E$23)/E21*100</f>
        <v>34.865900383141764</v>
      </c>
    </row>
    <row r="22" spans="2:6" x14ac:dyDescent="0.45">
      <c r="B22" s="436"/>
      <c r="C22" s="415"/>
      <c r="D22" s="43" t="s">
        <v>114</v>
      </c>
      <c r="E22" s="1">
        <v>2000</v>
      </c>
      <c r="F22" s="51">
        <f>(E22-$E$23)/E22*100</f>
        <v>15</v>
      </c>
    </row>
    <row r="23" spans="2:6" ht="18.600000000000001" thickBot="1" x14ac:dyDescent="0.5">
      <c r="B23" s="436"/>
      <c r="C23" s="415"/>
      <c r="D23" s="44" t="s">
        <v>115</v>
      </c>
      <c r="E23" s="45">
        <v>1700</v>
      </c>
      <c r="F23" s="52" t="s">
        <v>77</v>
      </c>
    </row>
    <row r="24" spans="2:6" x14ac:dyDescent="0.45">
      <c r="B24" s="436" t="s">
        <v>117</v>
      </c>
      <c r="C24" s="415"/>
      <c r="D24" s="41" t="s">
        <v>113</v>
      </c>
      <c r="E24" s="42">
        <v>12100</v>
      </c>
      <c r="F24" s="51">
        <f>(E24-$E$26)/E24*100</f>
        <v>26.859504132231404</v>
      </c>
    </row>
    <row r="25" spans="2:6" x14ac:dyDescent="0.45">
      <c r="B25" s="436"/>
      <c r="C25" s="415"/>
      <c r="D25" s="43" t="s">
        <v>114</v>
      </c>
      <c r="E25" s="1">
        <v>10200</v>
      </c>
      <c r="F25" s="51">
        <f>(E25-$E$26)/E25*100</f>
        <v>13.23529411764706</v>
      </c>
    </row>
    <row r="26" spans="2:6" ht="18.600000000000001" thickBot="1" x14ac:dyDescent="0.5">
      <c r="B26" s="436"/>
      <c r="C26" s="415"/>
      <c r="D26" s="44" t="s">
        <v>115</v>
      </c>
      <c r="E26" s="45">
        <v>8850</v>
      </c>
      <c r="F26" s="52" t="s">
        <v>77</v>
      </c>
    </row>
    <row r="27" spans="2:6" x14ac:dyDescent="0.45">
      <c r="B27" s="436" t="s">
        <v>118</v>
      </c>
      <c r="C27" s="415"/>
      <c r="D27" s="41" t="s">
        <v>113</v>
      </c>
      <c r="E27" s="42">
        <v>21300</v>
      </c>
      <c r="F27" s="51">
        <f>(E27-$E$29)/E27*100</f>
        <v>24.413145539906104</v>
      </c>
    </row>
    <row r="28" spans="2:6" x14ac:dyDescent="0.45">
      <c r="B28" s="436"/>
      <c r="C28" s="415"/>
      <c r="D28" s="43" t="s">
        <v>114</v>
      </c>
      <c r="E28" s="1">
        <v>19300</v>
      </c>
      <c r="F28" s="51">
        <f>(E28-$E$29)/E28*100</f>
        <v>16.580310880829018</v>
      </c>
    </row>
    <row r="29" spans="2:6" ht="18.600000000000001" thickBot="1" x14ac:dyDescent="0.5">
      <c r="B29" s="439"/>
      <c r="C29" s="438"/>
      <c r="D29" s="44" t="s">
        <v>115</v>
      </c>
      <c r="E29" s="45">
        <v>16100</v>
      </c>
      <c r="F29" s="53" t="s">
        <v>77</v>
      </c>
    </row>
    <row r="30" spans="2:6" x14ac:dyDescent="0.45">
      <c r="B30" s="435" t="s">
        <v>116</v>
      </c>
      <c r="C30" s="437" t="s">
        <v>119</v>
      </c>
      <c r="D30" s="41" t="s">
        <v>113</v>
      </c>
      <c r="E30" s="42">
        <v>2970</v>
      </c>
      <c r="F30" s="50">
        <f>(E30-$E$32)/E30*100</f>
        <v>29.966329966329969</v>
      </c>
    </row>
    <row r="31" spans="2:6" x14ac:dyDescent="0.45">
      <c r="B31" s="436"/>
      <c r="C31" s="415"/>
      <c r="D31" s="43" t="s">
        <v>114</v>
      </c>
      <c r="E31" s="1">
        <v>2460</v>
      </c>
      <c r="F31" s="51">
        <f>(E31-$E$32)/E31*100</f>
        <v>15.447154471544716</v>
      </c>
    </row>
    <row r="32" spans="2:6" ht="18.600000000000001" thickBot="1" x14ac:dyDescent="0.5">
      <c r="B32" s="436"/>
      <c r="C32" s="415"/>
      <c r="D32" s="44" t="s">
        <v>115</v>
      </c>
      <c r="E32" s="45">
        <v>2080</v>
      </c>
      <c r="F32" s="53" t="s">
        <v>77</v>
      </c>
    </row>
    <row r="33" spans="2:6" x14ac:dyDescent="0.45">
      <c r="B33" s="436" t="s">
        <v>117</v>
      </c>
      <c r="C33" s="415"/>
      <c r="D33" s="41" t="s">
        <v>113</v>
      </c>
      <c r="E33" s="42">
        <v>14100</v>
      </c>
      <c r="F33" s="50">
        <f>(E33-$E$35)/E33*100</f>
        <v>23.404255319148938</v>
      </c>
    </row>
    <row r="34" spans="2:6" x14ac:dyDescent="0.45">
      <c r="B34" s="436"/>
      <c r="C34" s="415"/>
      <c r="D34" s="43" t="s">
        <v>114</v>
      </c>
      <c r="E34" s="1">
        <v>12400</v>
      </c>
      <c r="F34" s="51">
        <f>(E34-$E$35)/E34*100</f>
        <v>12.903225806451612</v>
      </c>
    </row>
    <row r="35" spans="2:6" ht="18.600000000000001" thickBot="1" x14ac:dyDescent="0.5">
      <c r="B35" s="436"/>
      <c r="C35" s="415"/>
      <c r="D35" s="44" t="s">
        <v>115</v>
      </c>
      <c r="E35" s="45">
        <v>10800</v>
      </c>
      <c r="F35" s="53" t="s">
        <v>77</v>
      </c>
    </row>
    <row r="36" spans="2:6" x14ac:dyDescent="0.45">
      <c r="B36" s="436" t="s">
        <v>118</v>
      </c>
      <c r="C36" s="415"/>
      <c r="D36" s="46" t="s">
        <v>113</v>
      </c>
      <c r="E36" s="6">
        <v>24600</v>
      </c>
      <c r="F36" s="54">
        <f>(E36-$E$38)/E36*100</f>
        <v>19.105691056910569</v>
      </c>
    </row>
    <row r="37" spans="2:6" x14ac:dyDescent="0.45">
      <c r="B37" s="436"/>
      <c r="C37" s="415"/>
      <c r="D37" s="43" t="s">
        <v>114</v>
      </c>
      <c r="E37" s="1">
        <v>23200</v>
      </c>
      <c r="F37" s="51">
        <f>(E37-$E$38)/E37*100</f>
        <v>14.224137931034484</v>
      </c>
    </row>
    <row r="38" spans="2:6" ht="18.600000000000001" thickBot="1" x14ac:dyDescent="0.5">
      <c r="B38" s="439"/>
      <c r="C38" s="438"/>
      <c r="D38" s="44" t="s">
        <v>115</v>
      </c>
      <c r="E38" s="45">
        <v>19900</v>
      </c>
      <c r="F38" s="53" t="s">
        <v>77</v>
      </c>
    </row>
    <row r="39" spans="2:6" x14ac:dyDescent="0.45">
      <c r="B39" t="s">
        <v>228</v>
      </c>
    </row>
  </sheetData>
  <mergeCells count="17">
    <mergeCell ref="B30:B32"/>
    <mergeCell ref="C30:C38"/>
    <mergeCell ref="B16:C16"/>
    <mergeCell ref="B33:B35"/>
    <mergeCell ref="B36:B38"/>
    <mergeCell ref="B19:F19"/>
    <mergeCell ref="D10:E10"/>
    <mergeCell ref="B21:B23"/>
    <mergeCell ref="C21:C29"/>
    <mergeCell ref="B24:B26"/>
    <mergeCell ref="B27:B29"/>
    <mergeCell ref="B10:C10"/>
    <mergeCell ref="B11:C11"/>
    <mergeCell ref="B12:C12"/>
    <mergeCell ref="B13:C13"/>
    <mergeCell ref="B14:C14"/>
    <mergeCell ref="B15:C15"/>
  </mergeCells>
  <phoneticPr fontId="2"/>
  <hyperlinks>
    <hyperlink ref="M2" location="水処理対策シート!A1" display="クリックで対策シートに戻る" xr:uid="{257574A9-C754-4792-BC3F-25008CF4390B}"/>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7A8BB-B9CA-49C6-BBA8-D97432F6FA99}">
  <sheetPr>
    <tabColor rgb="FF0070C0"/>
  </sheetPr>
  <dimension ref="B2:M19"/>
  <sheetViews>
    <sheetView zoomScale="80" zoomScaleNormal="80" workbookViewId="0"/>
  </sheetViews>
  <sheetFormatPr defaultRowHeight="18" x14ac:dyDescent="0.45"/>
  <cols>
    <col min="2" max="2" width="10.5" customWidth="1"/>
    <col min="3" max="3" width="11" customWidth="1"/>
    <col min="4" max="4" width="14.69921875" customWidth="1"/>
    <col min="5" max="5" width="31.19921875" customWidth="1"/>
    <col min="6" max="6" width="12.5" customWidth="1"/>
    <col min="11" max="11" width="15.09765625" bestFit="1" customWidth="1"/>
    <col min="13" max="13" width="17" customWidth="1"/>
    <col min="14" max="14" width="21.19921875" bestFit="1" customWidth="1"/>
    <col min="15" max="15" width="7.09765625" bestFit="1" customWidth="1"/>
  </cols>
  <sheetData>
    <row r="2" spans="2:13" ht="22.2" x14ac:dyDescent="0.45">
      <c r="B2" s="28" t="s">
        <v>207</v>
      </c>
      <c r="M2" s="242" t="s">
        <v>1145</v>
      </c>
    </row>
    <row r="3" spans="2:13" x14ac:dyDescent="0.45">
      <c r="B3" s="32" t="s">
        <v>94</v>
      </c>
      <c r="C3" s="33"/>
      <c r="D3" s="33"/>
      <c r="E3" s="33"/>
      <c r="H3" s="18"/>
      <c r="I3" t="s">
        <v>79</v>
      </c>
    </row>
    <row r="4" spans="2:13" x14ac:dyDescent="0.45">
      <c r="B4" s="310" t="s">
        <v>97</v>
      </c>
      <c r="C4" s="311"/>
      <c r="D4" s="311"/>
      <c r="E4" s="311"/>
      <c r="H4" s="7"/>
      <c r="I4" t="s">
        <v>80</v>
      </c>
    </row>
    <row r="5" spans="2:13" x14ac:dyDescent="0.45">
      <c r="H5" s="332"/>
      <c r="I5" t="s">
        <v>1243</v>
      </c>
    </row>
    <row r="6" spans="2:13" x14ac:dyDescent="0.45">
      <c r="H6" s="11"/>
      <c r="I6" t="s">
        <v>81</v>
      </c>
    </row>
    <row r="7" spans="2:13" x14ac:dyDescent="0.45">
      <c r="B7" s="31" t="s">
        <v>209</v>
      </c>
      <c r="C7" s="4"/>
      <c r="K7" s="4"/>
      <c r="M7" s="4" t="s">
        <v>213</v>
      </c>
    </row>
    <row r="8" spans="2:13" x14ac:dyDescent="0.45">
      <c r="B8" s="31" t="s">
        <v>1266</v>
      </c>
      <c r="C8" s="4"/>
      <c r="K8" s="4"/>
      <c r="M8" s="4"/>
    </row>
    <row r="10" spans="2:13" x14ac:dyDescent="0.45">
      <c r="B10" s="407" t="s">
        <v>153</v>
      </c>
      <c r="C10" s="407"/>
      <c r="D10" s="432" t="s">
        <v>39</v>
      </c>
      <c r="E10" s="433"/>
    </row>
    <row r="11" spans="2:13" x14ac:dyDescent="0.45">
      <c r="B11" s="407" t="s">
        <v>210</v>
      </c>
      <c r="C11" s="407"/>
      <c r="D11" s="57"/>
      <c r="E11" s="11" t="s">
        <v>84</v>
      </c>
      <c r="F11" t="s">
        <v>212</v>
      </c>
    </row>
    <row r="12" spans="2:13" x14ac:dyDescent="0.45">
      <c r="B12" s="407" t="s">
        <v>85</v>
      </c>
      <c r="C12" s="407"/>
      <c r="D12" s="11">
        <v>62</v>
      </c>
      <c r="E12" s="11" t="s">
        <v>86</v>
      </c>
      <c r="F12" s="4"/>
    </row>
    <row r="13" spans="2:13" x14ac:dyDescent="0.45">
      <c r="B13" s="407" t="s">
        <v>88</v>
      </c>
      <c r="C13" s="407"/>
      <c r="D13" s="8"/>
      <c r="E13" s="11" t="s">
        <v>89</v>
      </c>
      <c r="F13" s="4" t="s">
        <v>90</v>
      </c>
    </row>
    <row r="14" spans="2:13" x14ac:dyDescent="0.45">
      <c r="B14" s="407" t="s">
        <v>91</v>
      </c>
      <c r="C14" s="407"/>
      <c r="D14" s="56">
        <f>(D11*D12/100)*D13/100</f>
        <v>0</v>
      </c>
      <c r="E14" s="11" t="s">
        <v>84</v>
      </c>
      <c r="F14" s="4"/>
    </row>
    <row r="15" spans="2:13" x14ac:dyDescent="0.45">
      <c r="B15" s="407" t="s">
        <v>70</v>
      </c>
      <c r="C15" s="407"/>
      <c r="D15" s="332">
        <f>ツール入力シート!C13</f>
        <v>0.25</v>
      </c>
      <c r="E15" s="11" t="s">
        <v>92</v>
      </c>
    </row>
    <row r="16" spans="2:13" x14ac:dyDescent="0.45">
      <c r="B16" s="431" t="s">
        <v>93</v>
      </c>
      <c r="C16" s="431"/>
      <c r="D16" s="313">
        <f>D14*D15</f>
        <v>0</v>
      </c>
      <c r="E16" s="312" t="s">
        <v>21</v>
      </c>
    </row>
    <row r="19" spans="2:2" x14ac:dyDescent="0.45">
      <c r="B19" t="s">
        <v>224</v>
      </c>
    </row>
  </sheetData>
  <mergeCells count="8">
    <mergeCell ref="B15:C15"/>
    <mergeCell ref="B16:C16"/>
    <mergeCell ref="B10:C10"/>
    <mergeCell ref="D10:E10"/>
    <mergeCell ref="B11:C11"/>
    <mergeCell ref="B12:C12"/>
    <mergeCell ref="B13:C13"/>
    <mergeCell ref="B14:C14"/>
  </mergeCells>
  <phoneticPr fontId="2"/>
  <hyperlinks>
    <hyperlink ref="M2" location="水処理対策シート!A1" display="クリックで対策シートに戻る" xr:uid="{649AA4C9-3AB7-4109-A52B-179335118B2D}"/>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CEBE3-D238-40D0-91BB-14DEF3B56803}">
  <sheetPr>
    <tabColor rgb="FF0070C0"/>
  </sheetPr>
  <dimension ref="A2:N21"/>
  <sheetViews>
    <sheetView zoomScale="80" zoomScaleNormal="80" workbookViewId="0"/>
  </sheetViews>
  <sheetFormatPr defaultRowHeight="18" x14ac:dyDescent="0.45"/>
  <cols>
    <col min="2" max="2" width="10.5" customWidth="1"/>
    <col min="3" max="3" width="11" customWidth="1"/>
    <col min="4" max="4" width="14.69921875" customWidth="1"/>
    <col min="5" max="5" width="31.19921875" customWidth="1"/>
    <col min="6" max="6" width="15.09765625" bestFit="1" customWidth="1"/>
    <col min="7" max="7" width="12.5" customWidth="1"/>
    <col min="12" max="12" width="15.09765625" bestFit="1" customWidth="1"/>
    <col min="14" max="14" width="17" customWidth="1"/>
    <col min="15" max="15" width="21.19921875" bestFit="1" customWidth="1"/>
    <col min="16" max="16" width="7.09765625" bestFit="1" customWidth="1"/>
  </cols>
  <sheetData>
    <row r="2" spans="1:14" ht="22.2" x14ac:dyDescent="0.45">
      <c r="B2" s="28" t="s">
        <v>216</v>
      </c>
      <c r="L2" s="242" t="s">
        <v>1145</v>
      </c>
    </row>
    <row r="3" spans="1:14" x14ac:dyDescent="0.45">
      <c r="B3" s="32" t="s">
        <v>94</v>
      </c>
      <c r="C3" s="33"/>
      <c r="D3" s="33"/>
      <c r="E3" s="33"/>
      <c r="F3" s="96"/>
      <c r="I3" s="18"/>
      <c r="J3" t="s">
        <v>79</v>
      </c>
    </row>
    <row r="4" spans="1:14" x14ac:dyDescent="0.45">
      <c r="B4" s="310" t="s">
        <v>97</v>
      </c>
      <c r="C4" s="311"/>
      <c r="D4" s="311"/>
      <c r="E4" s="311"/>
      <c r="I4" s="7"/>
      <c r="J4" t="s">
        <v>80</v>
      </c>
    </row>
    <row r="5" spans="1:14" x14ac:dyDescent="0.45">
      <c r="I5" s="332"/>
      <c r="J5" t="s">
        <v>1243</v>
      </c>
    </row>
    <row r="6" spans="1:14" x14ac:dyDescent="0.45">
      <c r="I6" s="11"/>
      <c r="J6" t="s">
        <v>81</v>
      </c>
    </row>
    <row r="7" spans="1:14" x14ac:dyDescent="0.45">
      <c r="B7" s="31" t="s">
        <v>215</v>
      </c>
      <c r="C7" s="4"/>
      <c r="L7" s="4"/>
      <c r="N7" s="4" t="s">
        <v>213</v>
      </c>
    </row>
    <row r="8" spans="1:14" x14ac:dyDescent="0.45">
      <c r="B8" s="31" t="s">
        <v>1267</v>
      </c>
      <c r="C8" s="4"/>
      <c r="L8" s="4"/>
      <c r="N8" s="4"/>
    </row>
    <row r="10" spans="1:14" x14ac:dyDescent="0.45">
      <c r="B10" s="407" t="s">
        <v>153</v>
      </c>
      <c r="C10" s="407"/>
      <c r="D10" s="432" t="s">
        <v>39</v>
      </c>
      <c r="E10" s="433"/>
      <c r="F10" s="26" t="s">
        <v>1337</v>
      </c>
    </row>
    <row r="11" spans="1:14" x14ac:dyDescent="0.45">
      <c r="A11" s="165" t="s">
        <v>688</v>
      </c>
      <c r="B11" s="407" t="s">
        <v>210</v>
      </c>
      <c r="C11" s="407"/>
      <c r="D11" s="57"/>
      <c r="E11" s="11" t="s">
        <v>84</v>
      </c>
      <c r="F11" s="26"/>
      <c r="G11" t="s">
        <v>212</v>
      </c>
    </row>
    <row r="12" spans="1:14" x14ac:dyDescent="0.45">
      <c r="A12" s="165" t="s">
        <v>774</v>
      </c>
      <c r="B12" s="441" t="s">
        <v>1333</v>
      </c>
      <c r="C12" s="442"/>
      <c r="D12" s="57"/>
      <c r="E12" s="11" t="s">
        <v>1334</v>
      </c>
      <c r="F12" s="26"/>
    </row>
    <row r="13" spans="1:14" x14ac:dyDescent="0.45">
      <c r="A13" s="165" t="s">
        <v>696</v>
      </c>
      <c r="B13" s="441" t="s">
        <v>1335</v>
      </c>
      <c r="C13" s="442"/>
      <c r="D13" s="11">
        <v>0.105</v>
      </c>
      <c r="E13" s="11" t="s">
        <v>1336</v>
      </c>
      <c r="F13" s="26"/>
    </row>
    <row r="14" spans="1:14" x14ac:dyDescent="0.45">
      <c r="A14" s="165" t="s">
        <v>334</v>
      </c>
      <c r="B14" s="407" t="s">
        <v>211</v>
      </c>
      <c r="C14" s="407"/>
      <c r="D14" s="7">
        <f>D12*D13</f>
        <v>0</v>
      </c>
      <c r="E14" s="11" t="s">
        <v>214</v>
      </c>
      <c r="F14" s="26" t="s">
        <v>1338</v>
      </c>
      <c r="G14" s="4"/>
    </row>
    <row r="15" spans="1:14" x14ac:dyDescent="0.45">
      <c r="A15" s="165" t="s">
        <v>340</v>
      </c>
      <c r="B15" s="407" t="s">
        <v>88</v>
      </c>
      <c r="C15" s="407"/>
      <c r="D15" s="8">
        <v>100</v>
      </c>
      <c r="E15" s="11" t="s">
        <v>89</v>
      </c>
      <c r="F15" s="26"/>
      <c r="G15" s="4" t="s">
        <v>90</v>
      </c>
    </row>
    <row r="16" spans="1:14" x14ac:dyDescent="0.45">
      <c r="B16" s="407" t="s">
        <v>91</v>
      </c>
      <c r="C16" s="407"/>
      <c r="D16" s="56">
        <f>(D11-D14)*D15/100</f>
        <v>0</v>
      </c>
      <c r="E16" s="11" t="s">
        <v>84</v>
      </c>
      <c r="F16" s="26" t="s">
        <v>1339</v>
      </c>
      <c r="G16" s="4"/>
    </row>
    <row r="17" spans="2:6" x14ac:dyDescent="0.45">
      <c r="B17" s="407" t="s">
        <v>70</v>
      </c>
      <c r="C17" s="407"/>
      <c r="D17" s="332">
        <v>0.25</v>
      </c>
      <c r="E17" s="11" t="s">
        <v>92</v>
      </c>
      <c r="F17" s="26"/>
    </row>
    <row r="18" spans="2:6" x14ac:dyDescent="0.45">
      <c r="B18" s="431" t="s">
        <v>93</v>
      </c>
      <c r="C18" s="431"/>
      <c r="D18" s="313">
        <f>D16*D17</f>
        <v>0</v>
      </c>
      <c r="E18" s="312" t="s">
        <v>21</v>
      </c>
      <c r="F18" s="11"/>
    </row>
    <row r="21" spans="2:6" x14ac:dyDescent="0.45">
      <c r="B21" t="s">
        <v>223</v>
      </c>
    </row>
  </sheetData>
  <mergeCells count="10">
    <mergeCell ref="B17:C17"/>
    <mergeCell ref="B18:C18"/>
    <mergeCell ref="B10:C10"/>
    <mergeCell ref="D10:E10"/>
    <mergeCell ref="B11:C11"/>
    <mergeCell ref="B14:C14"/>
    <mergeCell ref="B15:C15"/>
    <mergeCell ref="B16:C16"/>
    <mergeCell ref="B12:C12"/>
    <mergeCell ref="B13:C13"/>
  </mergeCells>
  <phoneticPr fontId="2"/>
  <hyperlinks>
    <hyperlink ref="L2" location="水処理対策シート!A1" display="クリックで対策シートに戻る" xr:uid="{FE8686CD-B60F-4092-B7E9-2D569A3757A2}"/>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57192-28BF-45E4-A6E1-8CE0C680BD0C}">
  <sheetPr>
    <tabColor rgb="FF0070C0"/>
  </sheetPr>
  <dimension ref="B2:M25"/>
  <sheetViews>
    <sheetView zoomScale="80" zoomScaleNormal="80" workbookViewId="0"/>
  </sheetViews>
  <sheetFormatPr defaultRowHeight="18" x14ac:dyDescent="0.45"/>
  <cols>
    <col min="2" max="2" width="10.5" customWidth="1"/>
    <col min="3" max="3" width="11" customWidth="1"/>
    <col min="4" max="4" width="14.69921875" customWidth="1"/>
    <col min="5" max="5" width="31.19921875" customWidth="1"/>
    <col min="6" max="6" width="12.5" customWidth="1"/>
    <col min="11" max="11" width="15.09765625" bestFit="1" customWidth="1"/>
    <col min="13" max="13" width="17" customWidth="1"/>
    <col min="14" max="14" width="21.19921875" bestFit="1" customWidth="1"/>
    <col min="15" max="15" width="7.09765625" bestFit="1" customWidth="1"/>
  </cols>
  <sheetData>
    <row r="2" spans="2:13" ht="22.2" x14ac:dyDescent="0.45">
      <c r="B2" s="28" t="s">
        <v>219</v>
      </c>
      <c r="M2" s="242" t="s">
        <v>1145</v>
      </c>
    </row>
    <row r="3" spans="2:13" x14ac:dyDescent="0.45">
      <c r="B3" s="32" t="s">
        <v>94</v>
      </c>
      <c r="C3" s="33"/>
      <c r="D3" s="33"/>
      <c r="E3" s="33"/>
      <c r="H3" s="18"/>
      <c r="I3" t="s">
        <v>79</v>
      </c>
    </row>
    <row r="4" spans="2:13" x14ac:dyDescent="0.45">
      <c r="B4" s="310" t="s">
        <v>97</v>
      </c>
      <c r="C4" s="311"/>
      <c r="D4" s="311"/>
      <c r="E4" s="311"/>
      <c r="H4" s="7"/>
      <c r="I4" t="s">
        <v>80</v>
      </c>
    </row>
    <row r="5" spans="2:13" x14ac:dyDescent="0.45">
      <c r="H5" s="332"/>
      <c r="I5" t="s">
        <v>1243</v>
      </c>
    </row>
    <row r="6" spans="2:13" x14ac:dyDescent="0.45">
      <c r="H6" s="11"/>
      <c r="I6" t="s">
        <v>81</v>
      </c>
    </row>
    <row r="7" spans="2:13" x14ac:dyDescent="0.45">
      <c r="B7" s="31" t="s">
        <v>220</v>
      </c>
      <c r="C7" s="4"/>
      <c r="K7" s="4"/>
      <c r="M7" s="4" t="s">
        <v>213</v>
      </c>
    </row>
    <row r="8" spans="2:13" x14ac:dyDescent="0.45">
      <c r="B8" s="31" t="s">
        <v>1268</v>
      </c>
      <c r="C8" s="4"/>
      <c r="K8" s="4"/>
      <c r="M8" s="4"/>
    </row>
    <row r="10" spans="2:13" x14ac:dyDescent="0.45">
      <c r="B10" s="407" t="s">
        <v>153</v>
      </c>
      <c r="C10" s="407"/>
      <c r="D10" s="432" t="s">
        <v>222</v>
      </c>
      <c r="E10" s="433"/>
    </row>
    <row r="11" spans="2:13" x14ac:dyDescent="0.45">
      <c r="B11" s="407" t="s">
        <v>210</v>
      </c>
      <c r="C11" s="407"/>
      <c r="D11" s="57"/>
      <c r="E11" s="11" t="s">
        <v>84</v>
      </c>
      <c r="F11" t="s">
        <v>212</v>
      </c>
    </row>
    <row r="12" spans="2:13" x14ac:dyDescent="0.45">
      <c r="B12" s="407" t="s">
        <v>85</v>
      </c>
      <c r="C12" s="407"/>
      <c r="D12" s="8"/>
      <c r="E12" s="11" t="s">
        <v>86</v>
      </c>
      <c r="F12" s="4" t="s">
        <v>124</v>
      </c>
    </row>
    <row r="13" spans="2:13" x14ac:dyDescent="0.45">
      <c r="B13" s="407" t="s">
        <v>88</v>
      </c>
      <c r="C13" s="407"/>
      <c r="D13" s="8"/>
      <c r="E13" s="11" t="s">
        <v>89</v>
      </c>
      <c r="F13" s="4" t="s">
        <v>90</v>
      </c>
    </row>
    <row r="14" spans="2:13" x14ac:dyDescent="0.45">
      <c r="B14" s="407" t="s">
        <v>91</v>
      </c>
      <c r="C14" s="407"/>
      <c r="D14" s="56">
        <f>(D11*D12/100)*D13/100</f>
        <v>0</v>
      </c>
      <c r="E14" s="11" t="s">
        <v>84</v>
      </c>
      <c r="F14" s="4"/>
    </row>
    <row r="15" spans="2:13" x14ac:dyDescent="0.45">
      <c r="B15" s="407" t="s">
        <v>70</v>
      </c>
      <c r="C15" s="407"/>
      <c r="D15" s="332">
        <f>ツール入力シート!C13</f>
        <v>0.25</v>
      </c>
      <c r="E15" s="11" t="s">
        <v>92</v>
      </c>
    </row>
    <row r="16" spans="2:13" x14ac:dyDescent="0.45">
      <c r="B16" s="431" t="s">
        <v>93</v>
      </c>
      <c r="C16" s="431"/>
      <c r="D16" s="313">
        <f>D14*D15</f>
        <v>0</v>
      </c>
      <c r="E16" s="312" t="s">
        <v>21</v>
      </c>
    </row>
    <row r="19" spans="2:5" ht="18.600000000000001" thickBot="1" x14ac:dyDescent="0.5">
      <c r="B19" s="440" t="s">
        <v>125</v>
      </c>
      <c r="C19" s="440"/>
      <c r="D19" s="440"/>
      <c r="E19" s="4" t="s">
        <v>480</v>
      </c>
    </row>
    <row r="20" spans="2:5" x14ac:dyDescent="0.45">
      <c r="B20" s="60"/>
      <c r="C20" s="61" t="s">
        <v>39</v>
      </c>
      <c r="D20" s="61" t="s">
        <v>225</v>
      </c>
    </row>
    <row r="21" spans="2:5" ht="18.600000000000001" thickBot="1" x14ac:dyDescent="0.5">
      <c r="B21" s="68" t="s">
        <v>137</v>
      </c>
      <c r="C21" s="69">
        <v>12</v>
      </c>
      <c r="D21" s="70">
        <v>10</v>
      </c>
    </row>
    <row r="25" spans="2:5" x14ac:dyDescent="0.45">
      <c r="B25" t="s">
        <v>221</v>
      </c>
    </row>
  </sheetData>
  <mergeCells count="9">
    <mergeCell ref="B15:C15"/>
    <mergeCell ref="B16:C16"/>
    <mergeCell ref="B19:D19"/>
    <mergeCell ref="B10:C10"/>
    <mergeCell ref="D10:E10"/>
    <mergeCell ref="B11:C11"/>
    <mergeCell ref="B12:C12"/>
    <mergeCell ref="B13:C13"/>
    <mergeCell ref="B14:C14"/>
  </mergeCells>
  <phoneticPr fontId="2"/>
  <hyperlinks>
    <hyperlink ref="M2" location="水処理対策シート!A1" display="クリックで対策シートに戻る" xr:uid="{314BDA90-286F-4B7F-848B-A87BFAB9953F}"/>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E6638-E88A-436D-A923-7AD35A72D709}">
  <sheetPr>
    <tabColor theme="5" tint="-0.499984740745262"/>
  </sheetPr>
  <dimension ref="B2:M42"/>
  <sheetViews>
    <sheetView zoomScale="80" zoomScaleNormal="80" workbookViewId="0"/>
  </sheetViews>
  <sheetFormatPr defaultRowHeight="18" x14ac:dyDescent="0.45"/>
  <cols>
    <col min="2" max="2" width="15.59765625" customWidth="1"/>
    <col min="3" max="3" width="22.59765625" customWidth="1"/>
    <col min="4" max="4" width="11" bestFit="1" customWidth="1"/>
    <col min="5" max="5" width="13.09765625" bestFit="1" customWidth="1"/>
    <col min="6" max="6" width="12.5" customWidth="1"/>
    <col min="7" max="7" width="15.8984375" customWidth="1"/>
    <col min="8" max="8" width="22.3984375" customWidth="1"/>
    <col min="9" max="9" width="12.09765625" customWidth="1"/>
    <col min="10" max="11" width="14.19921875" customWidth="1"/>
    <col min="12" max="12" width="21.19921875" bestFit="1" customWidth="1"/>
    <col min="13" max="13" width="7.09765625" bestFit="1" customWidth="1"/>
  </cols>
  <sheetData>
    <row r="2" spans="2:13" ht="22.2" x14ac:dyDescent="0.45">
      <c r="B2" s="28" t="s">
        <v>151</v>
      </c>
      <c r="M2" s="242" t="s">
        <v>1145</v>
      </c>
    </row>
    <row r="3" spans="2:13" x14ac:dyDescent="0.45">
      <c r="B3" s="32" t="s">
        <v>94</v>
      </c>
      <c r="C3" s="33"/>
      <c r="D3" s="33"/>
      <c r="E3" s="33"/>
      <c r="H3" s="18"/>
      <c r="I3" t="s">
        <v>79</v>
      </c>
    </row>
    <row r="4" spans="2:13" x14ac:dyDescent="0.45">
      <c r="B4" s="310" t="s">
        <v>97</v>
      </c>
      <c r="C4" s="311"/>
      <c r="D4" s="311"/>
      <c r="E4" s="311"/>
      <c r="H4" s="7"/>
      <c r="I4" t="s">
        <v>80</v>
      </c>
    </row>
    <row r="5" spans="2:13" x14ac:dyDescent="0.45">
      <c r="H5" s="332"/>
      <c r="I5" t="s">
        <v>1243</v>
      </c>
    </row>
    <row r="6" spans="2:13" x14ac:dyDescent="0.45">
      <c r="H6" s="11"/>
      <c r="I6" t="s">
        <v>81</v>
      </c>
    </row>
    <row r="7" spans="2:13" x14ac:dyDescent="0.45">
      <c r="B7" s="31" t="s">
        <v>180</v>
      </c>
      <c r="C7" s="4"/>
    </row>
    <row r="8" spans="2:13" x14ac:dyDescent="0.45">
      <c r="B8" s="31" t="s">
        <v>1269</v>
      </c>
      <c r="C8" s="4"/>
    </row>
    <row r="10" spans="2:13" x14ac:dyDescent="0.45">
      <c r="B10" s="407" t="s">
        <v>152</v>
      </c>
      <c r="C10" s="407"/>
      <c r="D10" s="432" t="s">
        <v>156</v>
      </c>
      <c r="E10" s="433"/>
    </row>
    <row r="11" spans="2:13" x14ac:dyDescent="0.45">
      <c r="B11" s="407" t="s">
        <v>157</v>
      </c>
      <c r="C11" s="407"/>
      <c r="D11" s="57"/>
      <c r="E11" s="11" t="s">
        <v>84</v>
      </c>
    </row>
    <row r="12" spans="2:13" x14ac:dyDescent="0.45">
      <c r="B12" s="407" t="s">
        <v>85</v>
      </c>
      <c r="C12" s="407"/>
      <c r="D12" s="8"/>
      <c r="E12" s="11" t="s">
        <v>86</v>
      </c>
      <c r="F12" s="4" t="s">
        <v>124</v>
      </c>
    </row>
    <row r="13" spans="2:13" x14ac:dyDescent="0.45">
      <c r="B13" s="407" t="s">
        <v>88</v>
      </c>
      <c r="C13" s="407"/>
      <c r="D13" s="8"/>
      <c r="E13" s="11" t="s">
        <v>89</v>
      </c>
      <c r="F13" s="4" t="s">
        <v>90</v>
      </c>
    </row>
    <row r="14" spans="2:13" x14ac:dyDescent="0.45">
      <c r="B14" s="407" t="s">
        <v>91</v>
      </c>
      <c r="C14" s="407"/>
      <c r="D14" s="56">
        <f>(D11*D12/100)*D13/100</f>
        <v>0</v>
      </c>
      <c r="E14" s="11" t="s">
        <v>84</v>
      </c>
      <c r="F14" s="4" t="s">
        <v>95</v>
      </c>
    </row>
    <row r="15" spans="2:13" x14ac:dyDescent="0.45">
      <c r="B15" s="407" t="s">
        <v>70</v>
      </c>
      <c r="C15" s="407"/>
      <c r="D15" s="332">
        <f>ツール入力シート!C13</f>
        <v>0.25</v>
      </c>
      <c r="E15" s="11" t="s">
        <v>92</v>
      </c>
    </row>
    <row r="16" spans="2:13" x14ac:dyDescent="0.45">
      <c r="B16" s="431" t="s">
        <v>93</v>
      </c>
      <c r="C16" s="431"/>
      <c r="D16" s="313">
        <f>D14*D15</f>
        <v>0</v>
      </c>
      <c r="E16" s="312" t="s">
        <v>21</v>
      </c>
    </row>
    <row r="19" spans="2:6" x14ac:dyDescent="0.45">
      <c r="B19" s="434" t="s">
        <v>125</v>
      </c>
      <c r="C19" s="434"/>
      <c r="D19" s="4"/>
      <c r="E19" s="4"/>
      <c r="F19" s="4"/>
    </row>
    <row r="20" spans="2:6" ht="36" x14ac:dyDescent="0.45">
      <c r="B20" s="16" t="s">
        <v>158</v>
      </c>
      <c r="C20" s="75" t="s">
        <v>162</v>
      </c>
      <c r="E20" s="59"/>
      <c r="F20" s="4"/>
    </row>
    <row r="21" spans="2:6" ht="36" x14ac:dyDescent="0.45">
      <c r="B21" s="17" t="s">
        <v>159</v>
      </c>
      <c r="C21" s="76">
        <v>12</v>
      </c>
      <c r="D21" s="59"/>
      <c r="E21" s="59"/>
      <c r="F21" s="4"/>
    </row>
    <row r="22" spans="2:6" ht="36" x14ac:dyDescent="0.45">
      <c r="B22" s="17" t="s">
        <v>160</v>
      </c>
      <c r="C22" s="76">
        <v>27</v>
      </c>
      <c r="D22" s="59"/>
      <c r="E22" s="59"/>
      <c r="F22" s="4"/>
    </row>
    <row r="23" spans="2:6" ht="36" x14ac:dyDescent="0.45">
      <c r="B23" s="17" t="s">
        <v>161</v>
      </c>
      <c r="C23" s="76">
        <v>35</v>
      </c>
      <c r="D23" s="59"/>
      <c r="E23" s="59"/>
      <c r="F23" s="4"/>
    </row>
    <row r="24" spans="2:6" x14ac:dyDescent="0.45">
      <c r="B24" s="59"/>
      <c r="C24" s="59"/>
      <c r="D24" s="59"/>
      <c r="E24" s="59"/>
      <c r="F24" s="4"/>
    </row>
    <row r="25" spans="2:6" x14ac:dyDescent="0.45">
      <c r="F25" s="59"/>
    </row>
    <row r="26" spans="2:6" x14ac:dyDescent="0.45">
      <c r="B26" t="s">
        <v>163</v>
      </c>
    </row>
    <row r="41" spans="7:9" x14ac:dyDescent="0.45">
      <c r="G41" s="58"/>
    </row>
    <row r="42" spans="7:9" x14ac:dyDescent="0.45">
      <c r="I42" s="40"/>
    </row>
  </sheetData>
  <mergeCells count="9">
    <mergeCell ref="B15:C15"/>
    <mergeCell ref="B16:C16"/>
    <mergeCell ref="B19:C19"/>
    <mergeCell ref="B10:C10"/>
    <mergeCell ref="D10:E10"/>
    <mergeCell ref="B11:C11"/>
    <mergeCell ref="B12:C12"/>
    <mergeCell ref="B13:C13"/>
    <mergeCell ref="B14:C14"/>
  </mergeCells>
  <phoneticPr fontId="2"/>
  <hyperlinks>
    <hyperlink ref="M2" location="汚泥処理対策シート!A1" display="クリックで対策シートに戻る" xr:uid="{64254440-1D88-4EEF-9848-A3393DE0BFD9}"/>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F1407-12CA-43F4-99CB-B3851C3C39F1}">
  <sheetPr>
    <tabColor theme="5" tint="-0.499984740745262"/>
  </sheetPr>
  <dimension ref="B2:J46"/>
  <sheetViews>
    <sheetView zoomScale="80" zoomScaleNormal="80" workbookViewId="0"/>
  </sheetViews>
  <sheetFormatPr defaultRowHeight="18" x14ac:dyDescent="0.45"/>
  <cols>
    <col min="2" max="2" width="15.59765625" customWidth="1"/>
    <col min="3" max="3" width="22.59765625" customWidth="1"/>
    <col min="4" max="4" width="11" bestFit="1" customWidth="1"/>
    <col min="5" max="5" width="29.59765625" bestFit="1" customWidth="1"/>
    <col min="6" max="6" width="12.5" customWidth="1"/>
    <col min="7" max="7" width="15.8984375" customWidth="1"/>
    <col min="8" max="8" width="22.3984375" customWidth="1"/>
    <col min="9" max="9" width="24" bestFit="1" customWidth="1"/>
    <col min="10" max="10" width="32.59765625" customWidth="1"/>
    <col min="11" max="11" width="14.19921875" customWidth="1"/>
    <col min="12" max="12" width="21.19921875" bestFit="1" customWidth="1"/>
    <col min="13" max="13" width="7.09765625" bestFit="1" customWidth="1"/>
  </cols>
  <sheetData>
    <row r="2" spans="2:10" ht="22.2" x14ac:dyDescent="0.45">
      <c r="B2" s="28" t="s">
        <v>182</v>
      </c>
      <c r="J2" s="242" t="s">
        <v>1145</v>
      </c>
    </row>
    <row r="3" spans="2:10" x14ac:dyDescent="0.45">
      <c r="B3" s="32" t="s">
        <v>94</v>
      </c>
      <c r="C3" s="33"/>
      <c r="D3" s="33"/>
      <c r="E3" s="33"/>
      <c r="H3" s="18"/>
      <c r="I3" t="s">
        <v>79</v>
      </c>
    </row>
    <row r="4" spans="2:10" x14ac:dyDescent="0.45">
      <c r="B4" s="310" t="s">
        <v>97</v>
      </c>
      <c r="C4" s="311"/>
      <c r="D4" s="311"/>
      <c r="E4" s="311"/>
      <c r="H4" s="7"/>
      <c r="I4" t="s">
        <v>80</v>
      </c>
    </row>
    <row r="5" spans="2:10" x14ac:dyDescent="0.45">
      <c r="H5" s="332"/>
      <c r="I5" t="s">
        <v>1243</v>
      </c>
    </row>
    <row r="6" spans="2:10" x14ac:dyDescent="0.45">
      <c r="H6" s="11"/>
      <c r="I6" t="s">
        <v>81</v>
      </c>
    </row>
    <row r="7" spans="2:10" x14ac:dyDescent="0.45">
      <c r="B7" s="31" t="s">
        <v>179</v>
      </c>
      <c r="C7" s="4"/>
    </row>
    <row r="8" spans="2:10" x14ac:dyDescent="0.45">
      <c r="B8" s="31" t="s">
        <v>1269</v>
      </c>
      <c r="C8" s="4"/>
    </row>
    <row r="9" spans="2:10" x14ac:dyDescent="0.45">
      <c r="B9" s="31"/>
      <c r="C9" s="4"/>
    </row>
    <row r="10" spans="2:10" x14ac:dyDescent="0.45">
      <c r="B10" s="407" t="s">
        <v>152</v>
      </c>
      <c r="C10" s="407"/>
      <c r="D10" s="432" t="s">
        <v>177</v>
      </c>
      <c r="E10" s="433"/>
    </row>
    <row r="11" spans="2:10" x14ac:dyDescent="0.45">
      <c r="B11" s="407" t="s">
        <v>178</v>
      </c>
      <c r="C11" s="407"/>
      <c r="D11" s="57"/>
      <c r="E11" s="11" t="s">
        <v>84</v>
      </c>
    </row>
    <row r="12" spans="2:10" x14ac:dyDescent="0.45">
      <c r="B12" s="407" t="s">
        <v>85</v>
      </c>
      <c r="C12" s="407"/>
      <c r="D12" s="8"/>
      <c r="E12" s="11" t="s">
        <v>86</v>
      </c>
      <c r="F12" s="4" t="s">
        <v>124</v>
      </c>
    </row>
    <row r="13" spans="2:10" x14ac:dyDescent="0.45">
      <c r="B13" s="407" t="s">
        <v>91</v>
      </c>
      <c r="C13" s="407"/>
      <c r="D13" s="56">
        <f>(D11*D12/100)</f>
        <v>0</v>
      </c>
      <c r="E13" s="11" t="s">
        <v>84</v>
      </c>
      <c r="F13" s="4"/>
    </row>
    <row r="14" spans="2:10" x14ac:dyDescent="0.45">
      <c r="B14" s="407" t="s">
        <v>70</v>
      </c>
      <c r="C14" s="407"/>
      <c r="D14" s="332">
        <f>ツール入力シート!C13</f>
        <v>0.25</v>
      </c>
      <c r="E14" s="11" t="s">
        <v>92</v>
      </c>
    </row>
    <row r="15" spans="2:10" x14ac:dyDescent="0.45">
      <c r="B15" s="431" t="s">
        <v>93</v>
      </c>
      <c r="C15" s="431"/>
      <c r="D15" s="313">
        <f>D13*D14</f>
        <v>0</v>
      </c>
      <c r="E15" s="312" t="s">
        <v>21</v>
      </c>
    </row>
    <row r="18" spans="2:9" x14ac:dyDescent="0.45">
      <c r="B18" s="443" t="s">
        <v>125</v>
      </c>
      <c r="C18" s="443"/>
      <c r="D18" s="443"/>
      <c r="E18" s="443"/>
      <c r="F18" s="4"/>
    </row>
    <row r="19" spans="2:9" x14ac:dyDescent="0.45">
      <c r="B19" s="427" t="s">
        <v>166</v>
      </c>
      <c r="C19" s="427"/>
      <c r="D19" s="366" t="s">
        <v>173</v>
      </c>
      <c r="E19" s="30" t="s">
        <v>176</v>
      </c>
      <c r="F19" s="4"/>
    </row>
    <row r="20" spans="2:9" x14ac:dyDescent="0.45">
      <c r="B20" s="427" t="s">
        <v>167</v>
      </c>
      <c r="C20" s="9" t="s">
        <v>168</v>
      </c>
      <c r="D20" s="83">
        <v>-241.66666666666666</v>
      </c>
      <c r="E20" s="30" t="s">
        <v>174</v>
      </c>
      <c r="F20" s="4"/>
    </row>
    <row r="21" spans="2:9" x14ac:dyDescent="0.45">
      <c r="B21" s="427"/>
      <c r="C21" s="79" t="s">
        <v>169</v>
      </c>
      <c r="D21" s="83">
        <v>-482.90598290598285</v>
      </c>
      <c r="E21" s="30" t="s">
        <v>175</v>
      </c>
      <c r="F21" s="4"/>
    </row>
    <row r="22" spans="2:9" x14ac:dyDescent="0.45">
      <c r="B22" s="427" t="s">
        <v>39</v>
      </c>
      <c r="C22" s="79" t="s">
        <v>170</v>
      </c>
      <c r="D22" s="83" t="s">
        <v>172</v>
      </c>
      <c r="E22" s="30" t="s">
        <v>41</v>
      </c>
      <c r="F22" s="4"/>
    </row>
    <row r="23" spans="2:9" x14ac:dyDescent="0.45">
      <c r="B23" s="427"/>
      <c r="C23" s="9" t="s">
        <v>168</v>
      </c>
      <c r="D23" s="83">
        <v>-27.083333333333332</v>
      </c>
      <c r="E23" s="30" t="s">
        <v>1347</v>
      </c>
      <c r="F23" s="4"/>
    </row>
    <row r="24" spans="2:9" x14ac:dyDescent="0.45">
      <c r="B24" s="427"/>
      <c r="C24" s="79" t="s">
        <v>1345</v>
      </c>
      <c r="D24" s="83">
        <v>-30.76923076923077</v>
      </c>
      <c r="E24" s="30" t="s">
        <v>40</v>
      </c>
      <c r="F24" s="4"/>
    </row>
    <row r="25" spans="2:9" x14ac:dyDescent="0.45">
      <c r="B25" s="427" t="s">
        <v>171</v>
      </c>
      <c r="C25" s="79" t="s">
        <v>170</v>
      </c>
      <c r="D25" s="83" t="s">
        <v>172</v>
      </c>
      <c r="E25" s="30" t="s">
        <v>41</v>
      </c>
      <c r="F25" s="4"/>
    </row>
    <row r="26" spans="2:9" x14ac:dyDescent="0.45">
      <c r="B26" s="427"/>
      <c r="C26" s="9" t="s">
        <v>168</v>
      </c>
      <c r="D26" s="83">
        <v>-89.583333333333343</v>
      </c>
      <c r="E26" s="30" t="s">
        <v>1347</v>
      </c>
      <c r="F26" s="4"/>
    </row>
    <row r="27" spans="2:9" x14ac:dyDescent="0.45">
      <c r="B27" s="427"/>
      <c r="C27" s="79" t="s">
        <v>1345</v>
      </c>
      <c r="D27" s="83">
        <v>-95.726495726495727</v>
      </c>
      <c r="E27" s="30" t="s">
        <v>1346</v>
      </c>
      <c r="F27" s="4"/>
    </row>
    <row r="28" spans="2:9" x14ac:dyDescent="0.45">
      <c r="B28" s="31" t="s">
        <v>1323</v>
      </c>
      <c r="C28" s="59"/>
      <c r="D28" s="4"/>
      <c r="E28" s="4"/>
      <c r="F28" s="4"/>
    </row>
    <row r="29" spans="2:9" x14ac:dyDescent="0.45">
      <c r="F29" s="59"/>
    </row>
    <row r="30" spans="2:9" x14ac:dyDescent="0.45">
      <c r="B30" t="s">
        <v>165</v>
      </c>
    </row>
    <row r="32" spans="2:9" x14ac:dyDescent="0.45">
      <c r="I32" s="58"/>
    </row>
    <row r="37" spans="7:10" x14ac:dyDescent="0.45">
      <c r="H37" s="3"/>
      <c r="I37" s="3"/>
      <c r="J37" s="3"/>
    </row>
    <row r="38" spans="7:10" x14ac:dyDescent="0.45">
      <c r="H38" s="3"/>
      <c r="I38" s="3"/>
      <c r="J38" s="77"/>
    </row>
    <row r="39" spans="7:10" x14ac:dyDescent="0.45">
      <c r="H39" s="3"/>
      <c r="I39" s="78"/>
      <c r="J39" s="77"/>
    </row>
    <row r="40" spans="7:10" x14ac:dyDescent="0.45">
      <c r="H40" s="3"/>
      <c r="I40" s="78"/>
      <c r="J40" s="77"/>
    </row>
    <row r="41" spans="7:10" x14ac:dyDescent="0.45">
      <c r="H41" s="3"/>
      <c r="I41" s="3"/>
      <c r="J41" s="77"/>
    </row>
    <row r="42" spans="7:10" x14ac:dyDescent="0.45">
      <c r="H42" s="3"/>
      <c r="I42" s="78"/>
      <c r="J42" s="77"/>
    </row>
    <row r="43" spans="7:10" x14ac:dyDescent="0.45">
      <c r="H43" s="3"/>
      <c r="I43" s="78"/>
      <c r="J43" s="77"/>
    </row>
    <row r="44" spans="7:10" x14ac:dyDescent="0.45">
      <c r="H44" s="3"/>
      <c r="I44" s="3"/>
      <c r="J44" s="77"/>
    </row>
    <row r="45" spans="7:10" x14ac:dyDescent="0.45">
      <c r="G45" s="58"/>
      <c r="H45" s="3"/>
      <c r="I45" s="78"/>
      <c r="J45" s="77"/>
    </row>
    <row r="46" spans="7:10" x14ac:dyDescent="0.45">
      <c r="I46" s="40"/>
    </row>
  </sheetData>
  <mergeCells count="12">
    <mergeCell ref="B14:C14"/>
    <mergeCell ref="B15:C15"/>
    <mergeCell ref="B10:C10"/>
    <mergeCell ref="D10:E10"/>
    <mergeCell ref="B11:C11"/>
    <mergeCell ref="B12:C12"/>
    <mergeCell ref="B13:C13"/>
    <mergeCell ref="B19:C19"/>
    <mergeCell ref="B20:B21"/>
    <mergeCell ref="B22:B24"/>
    <mergeCell ref="B25:B27"/>
    <mergeCell ref="B18:E18"/>
  </mergeCells>
  <phoneticPr fontId="2"/>
  <hyperlinks>
    <hyperlink ref="J2" location="汚泥処理対策シート!A1" display="クリックで対策シートに戻る" xr:uid="{9FE4C4AD-A19E-496F-80A0-6CBB7E17B322}"/>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B4306-F4F8-4C77-94CC-3F2E0E960C14}">
  <sheetPr>
    <tabColor theme="5" tint="-0.499984740745262"/>
  </sheetPr>
  <dimension ref="B2:J47"/>
  <sheetViews>
    <sheetView zoomScale="80" zoomScaleNormal="80" workbookViewId="0"/>
  </sheetViews>
  <sheetFormatPr defaultRowHeight="18" x14ac:dyDescent="0.45"/>
  <cols>
    <col min="2" max="2" width="15.59765625" customWidth="1"/>
    <col min="3" max="3" width="22.59765625" customWidth="1"/>
    <col min="4" max="4" width="11" bestFit="1" customWidth="1"/>
    <col min="5" max="5" width="29.59765625" bestFit="1" customWidth="1"/>
    <col min="6" max="6" width="12.5" customWidth="1"/>
    <col min="7" max="7" width="15.8984375" customWidth="1"/>
    <col min="8" max="8" width="22.3984375" customWidth="1"/>
    <col min="9" max="9" width="24" bestFit="1" customWidth="1"/>
    <col min="10" max="10" width="32.59765625" customWidth="1"/>
    <col min="11" max="11" width="14.19921875" customWidth="1"/>
    <col min="12" max="12" width="21.19921875" bestFit="1" customWidth="1"/>
    <col min="13" max="13" width="7.09765625" bestFit="1" customWidth="1"/>
  </cols>
  <sheetData>
    <row r="2" spans="2:10" ht="22.2" x14ac:dyDescent="0.45">
      <c r="B2" s="28" t="s">
        <v>197</v>
      </c>
      <c r="J2" s="242" t="s">
        <v>1145</v>
      </c>
    </row>
    <row r="3" spans="2:10" x14ac:dyDescent="0.45">
      <c r="B3" s="32" t="s">
        <v>94</v>
      </c>
      <c r="C3" s="33"/>
      <c r="D3" s="33"/>
      <c r="E3" s="33"/>
      <c r="H3" s="18"/>
      <c r="I3" t="s">
        <v>79</v>
      </c>
    </row>
    <row r="4" spans="2:10" x14ac:dyDescent="0.45">
      <c r="B4" s="310" t="s">
        <v>97</v>
      </c>
      <c r="C4" s="311"/>
      <c r="D4" s="311"/>
      <c r="E4" s="311"/>
      <c r="H4" s="7"/>
      <c r="I4" t="s">
        <v>80</v>
      </c>
    </row>
    <row r="5" spans="2:10" x14ac:dyDescent="0.45">
      <c r="H5" s="332"/>
      <c r="I5" t="s">
        <v>1243</v>
      </c>
    </row>
    <row r="6" spans="2:10" x14ac:dyDescent="0.45">
      <c r="H6" s="11"/>
      <c r="I6" t="s">
        <v>81</v>
      </c>
    </row>
    <row r="7" spans="2:10" x14ac:dyDescent="0.45">
      <c r="B7" s="31" t="s">
        <v>179</v>
      </c>
      <c r="C7" s="4"/>
    </row>
    <row r="8" spans="2:10" x14ac:dyDescent="0.45">
      <c r="B8" s="31" t="s">
        <v>1269</v>
      </c>
      <c r="C8" s="4"/>
    </row>
    <row r="9" spans="2:10" x14ac:dyDescent="0.45">
      <c r="B9" s="31"/>
      <c r="C9" s="4"/>
    </row>
    <row r="10" spans="2:10" x14ac:dyDescent="0.45">
      <c r="B10" s="407" t="s">
        <v>152</v>
      </c>
      <c r="C10" s="407"/>
      <c r="D10" s="432" t="s">
        <v>177</v>
      </c>
      <c r="E10" s="433"/>
    </row>
    <row r="11" spans="2:10" x14ac:dyDescent="0.45">
      <c r="B11" s="407" t="s">
        <v>193</v>
      </c>
      <c r="C11" s="407"/>
      <c r="D11" s="57"/>
      <c r="E11" s="11" t="s">
        <v>84</v>
      </c>
    </row>
    <row r="12" spans="2:10" x14ac:dyDescent="0.45">
      <c r="B12" s="407" t="s">
        <v>85</v>
      </c>
      <c r="C12" s="407"/>
      <c r="D12" s="8"/>
      <c r="E12" s="11" t="s">
        <v>86</v>
      </c>
      <c r="F12" s="4" t="s">
        <v>124</v>
      </c>
    </row>
    <row r="13" spans="2:10" x14ac:dyDescent="0.45">
      <c r="B13" s="407" t="s">
        <v>88</v>
      </c>
      <c r="C13" s="407"/>
      <c r="D13" s="8"/>
      <c r="E13" s="11" t="s">
        <v>89</v>
      </c>
      <c r="F13" s="4" t="s">
        <v>90</v>
      </c>
    </row>
    <row r="14" spans="2:10" x14ac:dyDescent="0.45">
      <c r="B14" s="407" t="s">
        <v>91</v>
      </c>
      <c r="C14" s="407"/>
      <c r="D14" s="56">
        <f>(D11*D12/100)*D13/100</f>
        <v>0</v>
      </c>
      <c r="E14" s="11" t="s">
        <v>84</v>
      </c>
      <c r="F14" s="4" t="s">
        <v>95</v>
      </c>
    </row>
    <row r="15" spans="2:10" x14ac:dyDescent="0.45">
      <c r="B15" s="407" t="s">
        <v>70</v>
      </c>
      <c r="C15" s="407"/>
      <c r="D15" s="332">
        <f>ツール入力シート!C13</f>
        <v>0.25</v>
      </c>
      <c r="E15" s="11" t="s">
        <v>92</v>
      </c>
    </row>
    <row r="16" spans="2:10" x14ac:dyDescent="0.45">
      <c r="B16" s="431" t="s">
        <v>93</v>
      </c>
      <c r="C16" s="431"/>
      <c r="D16" s="313">
        <f>D14*D15</f>
        <v>0</v>
      </c>
      <c r="E16" s="312" t="s">
        <v>21</v>
      </c>
    </row>
    <row r="19" spans="2:8" x14ac:dyDescent="0.45">
      <c r="B19" s="443" t="s">
        <v>125</v>
      </c>
      <c r="C19" s="443"/>
      <c r="D19" s="443"/>
      <c r="E19" s="443"/>
      <c r="F19" s="443"/>
      <c r="G19" s="443"/>
      <c r="H19" s="443"/>
    </row>
    <row r="20" spans="2:8" x14ac:dyDescent="0.45">
      <c r="B20" s="423" t="s">
        <v>191</v>
      </c>
      <c r="C20" s="423"/>
      <c r="D20" s="423" t="s">
        <v>192</v>
      </c>
      <c r="E20" s="423"/>
      <c r="F20" s="423" t="s">
        <v>186</v>
      </c>
      <c r="G20" s="423"/>
      <c r="H20" s="423"/>
    </row>
    <row r="21" spans="2:8" x14ac:dyDescent="0.45">
      <c r="B21" s="423"/>
      <c r="C21" s="423"/>
      <c r="D21" s="423"/>
      <c r="E21" s="423"/>
      <c r="F21" s="16" t="s">
        <v>474</v>
      </c>
      <c r="G21" s="16" t="s">
        <v>187</v>
      </c>
      <c r="H21" s="16" t="s">
        <v>188</v>
      </c>
    </row>
    <row r="22" spans="2:8" x14ac:dyDescent="0.45">
      <c r="B22" s="423" t="s">
        <v>185</v>
      </c>
      <c r="C22" s="423"/>
      <c r="D22" s="423" t="s">
        <v>194</v>
      </c>
      <c r="E22" s="423"/>
      <c r="F22" s="76" t="s">
        <v>42</v>
      </c>
      <c r="G22" s="76">
        <v>25</v>
      </c>
      <c r="H22" s="76">
        <v>18</v>
      </c>
    </row>
    <row r="23" spans="2:8" x14ac:dyDescent="0.45">
      <c r="B23" s="423" t="s">
        <v>185</v>
      </c>
      <c r="C23" s="423"/>
      <c r="D23" s="423" t="s">
        <v>189</v>
      </c>
      <c r="E23" s="423"/>
      <c r="F23" s="76" t="s">
        <v>42</v>
      </c>
      <c r="G23" s="76">
        <v>59</v>
      </c>
      <c r="H23" s="76">
        <v>53</v>
      </c>
    </row>
    <row r="24" spans="2:8" x14ac:dyDescent="0.45">
      <c r="B24" s="423" t="s">
        <v>185</v>
      </c>
      <c r="C24" s="423"/>
      <c r="D24" s="423" t="s">
        <v>190</v>
      </c>
      <c r="E24" s="423"/>
      <c r="F24" s="76">
        <v>64</v>
      </c>
      <c r="G24" s="76">
        <v>73</v>
      </c>
      <c r="H24" s="76">
        <v>47</v>
      </c>
    </row>
    <row r="25" spans="2:8" x14ac:dyDescent="0.45">
      <c r="B25" s="29"/>
      <c r="C25" s="82"/>
      <c r="E25" s="80"/>
      <c r="F25" s="4"/>
    </row>
    <row r="26" spans="2:8" x14ac:dyDescent="0.45">
      <c r="B26" s="29"/>
      <c r="C26" s="82"/>
      <c r="D26" s="81"/>
      <c r="E26" s="80"/>
      <c r="F26" s="4"/>
    </row>
    <row r="27" spans="2:8" x14ac:dyDescent="0.45">
      <c r="B27" s="29"/>
      <c r="C27" s="29"/>
      <c r="D27" s="81"/>
      <c r="E27" s="80"/>
      <c r="F27" s="4"/>
    </row>
    <row r="28" spans="2:8" x14ac:dyDescent="0.45">
      <c r="B28" s="29"/>
      <c r="C28" s="82"/>
      <c r="D28" s="81"/>
      <c r="E28" s="80"/>
      <c r="F28" s="4"/>
    </row>
    <row r="29" spans="2:8" x14ac:dyDescent="0.45">
      <c r="B29" s="59"/>
      <c r="C29" s="59"/>
      <c r="D29" s="4"/>
      <c r="E29" s="4"/>
      <c r="F29" s="4"/>
    </row>
    <row r="30" spans="2:8" x14ac:dyDescent="0.45">
      <c r="F30" s="59"/>
    </row>
    <row r="31" spans="2:8" x14ac:dyDescent="0.45">
      <c r="B31" t="s">
        <v>184</v>
      </c>
    </row>
    <row r="33" spans="7:10" x14ac:dyDescent="0.45">
      <c r="I33" s="58"/>
    </row>
    <row r="38" spans="7:10" x14ac:dyDescent="0.45">
      <c r="H38" s="3"/>
      <c r="I38" s="3"/>
      <c r="J38" s="3"/>
    </row>
    <row r="39" spans="7:10" x14ac:dyDescent="0.45">
      <c r="H39" s="3"/>
      <c r="I39" s="3"/>
      <c r="J39" s="77"/>
    </row>
    <row r="40" spans="7:10" x14ac:dyDescent="0.45">
      <c r="H40" s="3"/>
      <c r="I40" s="78"/>
      <c r="J40" s="77"/>
    </row>
    <row r="41" spans="7:10" x14ac:dyDescent="0.45">
      <c r="H41" s="3"/>
      <c r="I41" s="78"/>
      <c r="J41" s="77"/>
    </row>
    <row r="42" spans="7:10" x14ac:dyDescent="0.45">
      <c r="H42" s="3"/>
      <c r="I42" s="3"/>
      <c r="J42" s="77"/>
    </row>
    <row r="43" spans="7:10" x14ac:dyDescent="0.45">
      <c r="H43" s="3"/>
      <c r="I43" s="78"/>
      <c r="J43" s="77"/>
    </row>
    <row r="44" spans="7:10" x14ac:dyDescent="0.45">
      <c r="H44" s="3"/>
      <c r="I44" s="78"/>
      <c r="J44" s="77"/>
    </row>
    <row r="45" spans="7:10" x14ac:dyDescent="0.45">
      <c r="H45" s="3"/>
      <c r="I45" s="3"/>
      <c r="J45" s="77"/>
    </row>
    <row r="46" spans="7:10" x14ac:dyDescent="0.45">
      <c r="G46" s="58"/>
      <c r="H46" s="3"/>
      <c r="I46" s="78"/>
      <c r="J46" s="77"/>
    </row>
    <row r="47" spans="7:10" x14ac:dyDescent="0.45">
      <c r="I47" s="40"/>
    </row>
  </sheetData>
  <mergeCells count="18">
    <mergeCell ref="B10:C10"/>
    <mergeCell ref="D10:E10"/>
    <mergeCell ref="B11:C11"/>
    <mergeCell ref="B12:C12"/>
    <mergeCell ref="B14:C14"/>
    <mergeCell ref="B13:C13"/>
    <mergeCell ref="B15:C15"/>
    <mergeCell ref="D24:E24"/>
    <mergeCell ref="F20:H20"/>
    <mergeCell ref="B16:C16"/>
    <mergeCell ref="B22:C22"/>
    <mergeCell ref="B23:C23"/>
    <mergeCell ref="B24:C24"/>
    <mergeCell ref="D22:E22"/>
    <mergeCell ref="B19:H19"/>
    <mergeCell ref="B20:C21"/>
    <mergeCell ref="D20:E21"/>
    <mergeCell ref="D23:E23"/>
  </mergeCells>
  <phoneticPr fontId="2"/>
  <hyperlinks>
    <hyperlink ref="J2" location="汚泥処理対策シート!A1" display="クリックで対策シートに戻る" xr:uid="{435C331E-6A65-4EDA-B6FE-CB32A44956EF}"/>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5CF88-33A8-45C9-B26A-BABF7CCF9651}">
  <sheetPr codeName="Sheet4"/>
  <dimension ref="B3:F25"/>
  <sheetViews>
    <sheetView showGridLines="0" zoomScale="110" zoomScaleNormal="110" workbookViewId="0"/>
  </sheetViews>
  <sheetFormatPr defaultRowHeight="18" x14ac:dyDescent="0.45"/>
  <cols>
    <col min="2" max="2" width="38.69921875" bestFit="1" customWidth="1"/>
    <col min="3" max="3" width="38.69921875" customWidth="1"/>
    <col min="4" max="4" width="32.8984375" bestFit="1" customWidth="1"/>
    <col min="5" max="5" width="15.3984375" bestFit="1" customWidth="1"/>
    <col min="6" max="6" width="9.8984375" customWidth="1"/>
  </cols>
  <sheetData>
    <row r="3" spans="2:6" x14ac:dyDescent="0.45">
      <c r="B3" s="20" t="s">
        <v>43</v>
      </c>
      <c r="C3" s="14" t="s">
        <v>65</v>
      </c>
      <c r="D3" s="14" t="s">
        <v>1</v>
      </c>
      <c r="E3" s="395" t="s">
        <v>1237</v>
      </c>
      <c r="F3" s="396"/>
    </row>
    <row r="4" spans="2:6" x14ac:dyDescent="0.45">
      <c r="B4" s="1" t="s">
        <v>44</v>
      </c>
      <c r="C4" s="1" t="s">
        <v>66</v>
      </c>
      <c r="D4" s="1" t="s">
        <v>2</v>
      </c>
      <c r="E4" s="1" t="s">
        <v>35</v>
      </c>
      <c r="F4" s="1" t="s">
        <v>1244</v>
      </c>
    </row>
    <row r="5" spans="2:6" x14ac:dyDescent="0.45">
      <c r="B5" s="1" t="s">
        <v>55</v>
      </c>
      <c r="C5" s="1" t="s">
        <v>67</v>
      </c>
      <c r="D5" s="1" t="s">
        <v>0</v>
      </c>
      <c r="E5" s="330">
        <v>1.2193000000000001</v>
      </c>
      <c r="F5" s="330">
        <v>-1.627</v>
      </c>
    </row>
    <row r="6" spans="2:6" x14ac:dyDescent="0.45">
      <c r="B6" s="1" t="s">
        <v>45</v>
      </c>
      <c r="C6" s="1" t="s">
        <v>68</v>
      </c>
      <c r="D6" s="1" t="s">
        <v>39</v>
      </c>
      <c r="E6" s="330">
        <v>1.9839</v>
      </c>
      <c r="F6" s="331">
        <v>-1.972</v>
      </c>
    </row>
    <row r="7" spans="2:6" x14ac:dyDescent="0.45">
      <c r="B7" s="1" t="s">
        <v>46</v>
      </c>
      <c r="C7" s="1"/>
      <c r="D7" s="1" t="s">
        <v>171</v>
      </c>
      <c r="E7" s="330">
        <v>3.1850000000000001</v>
      </c>
      <c r="F7" s="330">
        <v>-2.125</v>
      </c>
    </row>
    <row r="8" spans="2:6" x14ac:dyDescent="0.45">
      <c r="B8" s="1" t="s">
        <v>57</v>
      </c>
      <c r="C8" s="1"/>
      <c r="D8" s="1" t="s">
        <v>67</v>
      </c>
      <c r="E8" s="330">
        <v>7.7164000000000001</v>
      </c>
      <c r="F8" s="330">
        <v>-2.464</v>
      </c>
    </row>
    <row r="9" spans="2:6" x14ac:dyDescent="0.45">
      <c r="B9" s="1" t="s">
        <v>58</v>
      </c>
      <c r="C9" s="1"/>
      <c r="D9" s="1"/>
      <c r="E9" s="1"/>
      <c r="F9" s="1"/>
    </row>
    <row r="10" spans="2:6" x14ac:dyDescent="0.45">
      <c r="B10" s="1" t="s">
        <v>59</v>
      </c>
      <c r="C10" s="1"/>
      <c r="D10" s="1"/>
      <c r="E10" s="1"/>
      <c r="F10" s="1"/>
    </row>
    <row r="11" spans="2:6" x14ac:dyDescent="0.45">
      <c r="B11" s="1" t="s">
        <v>60</v>
      </c>
      <c r="C11" s="1"/>
      <c r="D11" s="1"/>
      <c r="E11" s="1"/>
      <c r="F11" s="1"/>
    </row>
    <row r="12" spans="2:6" x14ac:dyDescent="0.45">
      <c r="B12" s="1" t="s">
        <v>61</v>
      </c>
      <c r="C12" s="1"/>
      <c r="D12" s="1"/>
      <c r="E12" s="1"/>
      <c r="F12" s="1"/>
    </row>
    <row r="13" spans="2:6" x14ac:dyDescent="0.45">
      <c r="B13" s="1" t="s">
        <v>48</v>
      </c>
      <c r="C13" s="1"/>
      <c r="D13" s="1"/>
      <c r="E13" s="1"/>
      <c r="F13" s="1"/>
    </row>
    <row r="14" spans="2:6" x14ac:dyDescent="0.45">
      <c r="B14" s="1" t="s">
        <v>47</v>
      </c>
      <c r="C14" s="1"/>
      <c r="D14" s="1"/>
      <c r="E14" s="1"/>
      <c r="F14" s="1"/>
    </row>
    <row r="15" spans="2:6" x14ac:dyDescent="0.45">
      <c r="B15" s="1" t="s">
        <v>49</v>
      </c>
      <c r="C15" s="1"/>
      <c r="D15" s="1"/>
      <c r="E15" s="1"/>
      <c r="F15" s="1"/>
    </row>
    <row r="16" spans="2:6" x14ac:dyDescent="0.45">
      <c r="B16" s="1" t="s">
        <v>50</v>
      </c>
      <c r="C16" s="1"/>
      <c r="D16" s="1"/>
      <c r="E16" s="1"/>
      <c r="F16" s="1"/>
    </row>
    <row r="17" spans="2:6" x14ac:dyDescent="0.45">
      <c r="B17" s="1" t="s">
        <v>62</v>
      </c>
      <c r="C17" s="1"/>
      <c r="D17" s="1"/>
      <c r="E17" s="1"/>
      <c r="F17" s="1"/>
    </row>
    <row r="18" spans="2:6" x14ac:dyDescent="0.45">
      <c r="B18" s="1" t="s">
        <v>51</v>
      </c>
      <c r="C18" s="1"/>
      <c r="D18" s="1"/>
      <c r="E18" s="1"/>
      <c r="F18" s="1"/>
    </row>
    <row r="19" spans="2:6" x14ac:dyDescent="0.45">
      <c r="B19" s="1" t="s">
        <v>52</v>
      </c>
      <c r="C19" s="1"/>
      <c r="D19" s="1"/>
      <c r="E19" s="1"/>
      <c r="F19" s="1"/>
    </row>
    <row r="20" spans="2:6" x14ac:dyDescent="0.45">
      <c r="B20" s="1" t="s">
        <v>53</v>
      </c>
      <c r="C20" s="1"/>
      <c r="D20" s="1"/>
      <c r="E20" s="1"/>
      <c r="F20" s="1"/>
    </row>
    <row r="21" spans="2:6" x14ac:dyDescent="0.45">
      <c r="B21" s="1" t="s">
        <v>63</v>
      </c>
      <c r="C21" s="1"/>
      <c r="D21" s="1"/>
      <c r="E21" s="1"/>
      <c r="F21" s="1"/>
    </row>
    <row r="22" spans="2:6" x14ac:dyDescent="0.45">
      <c r="B22" s="1" t="s">
        <v>54</v>
      </c>
      <c r="C22" s="1"/>
      <c r="D22" s="1"/>
      <c r="E22" s="1"/>
      <c r="F22" s="1"/>
    </row>
    <row r="23" spans="2:6" x14ac:dyDescent="0.45">
      <c r="B23" s="1" t="s">
        <v>56</v>
      </c>
      <c r="C23" s="1"/>
      <c r="D23" s="1"/>
      <c r="E23" s="1"/>
      <c r="F23" s="1"/>
    </row>
    <row r="24" spans="2:6" x14ac:dyDescent="0.45">
      <c r="B24" s="1" t="s">
        <v>73</v>
      </c>
      <c r="C24" s="1"/>
      <c r="D24" s="1"/>
      <c r="E24" s="1"/>
      <c r="F24" s="1"/>
    </row>
    <row r="25" spans="2:6" x14ac:dyDescent="0.45">
      <c r="B25" s="1" t="s">
        <v>74</v>
      </c>
      <c r="C25" s="1"/>
      <c r="D25" s="1"/>
      <c r="E25" s="1"/>
      <c r="F25" s="1"/>
    </row>
  </sheetData>
  <mergeCells count="1">
    <mergeCell ref="E3:F3"/>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47631-3631-4AFA-B06B-019324D323DD}">
  <sheetPr>
    <tabColor theme="5" tint="-0.499984740745262"/>
  </sheetPr>
  <dimension ref="B2:J30"/>
  <sheetViews>
    <sheetView zoomScale="80" zoomScaleNormal="80" workbookViewId="0"/>
  </sheetViews>
  <sheetFormatPr defaultRowHeight="18" x14ac:dyDescent="0.45"/>
  <cols>
    <col min="2" max="2" width="15.59765625" customWidth="1"/>
    <col min="3" max="3" width="22.59765625" customWidth="1"/>
    <col min="4" max="4" width="11" bestFit="1" customWidth="1"/>
    <col min="5" max="5" width="29.59765625" bestFit="1" customWidth="1"/>
    <col min="6" max="6" width="12.5" customWidth="1"/>
    <col min="7" max="7" width="15.8984375" customWidth="1"/>
    <col min="8" max="8" width="22.3984375" customWidth="1"/>
    <col min="9" max="9" width="24" bestFit="1" customWidth="1"/>
    <col min="10" max="10" width="32.59765625" customWidth="1"/>
    <col min="11" max="11" width="14.19921875" customWidth="1"/>
    <col min="12" max="12" width="21.19921875" bestFit="1" customWidth="1"/>
    <col min="13" max="13" width="7.09765625" bestFit="1" customWidth="1"/>
  </cols>
  <sheetData>
    <row r="2" spans="2:9" ht="22.2" x14ac:dyDescent="0.45">
      <c r="B2" s="28" t="s">
        <v>1331</v>
      </c>
      <c r="I2" s="242" t="s">
        <v>1145</v>
      </c>
    </row>
    <row r="3" spans="2:9" ht="22.2" x14ac:dyDescent="0.45">
      <c r="B3" s="28"/>
    </row>
    <row r="4" spans="2:9" x14ac:dyDescent="0.45">
      <c r="B4" s="31" t="s">
        <v>751</v>
      </c>
    </row>
    <row r="5" spans="2:9" x14ac:dyDescent="0.45">
      <c r="B5" s="31" t="s">
        <v>752</v>
      </c>
    </row>
    <row r="6" spans="2:9" ht="22.2" x14ac:dyDescent="0.45">
      <c r="B6" s="28"/>
      <c r="C6" s="242" t="s">
        <v>1149</v>
      </c>
    </row>
    <row r="7" spans="2:9" ht="22.2" x14ac:dyDescent="0.45">
      <c r="B7" s="28"/>
    </row>
    <row r="8" spans="2:9" ht="22.2" x14ac:dyDescent="0.45">
      <c r="B8" s="28" t="s">
        <v>753</v>
      </c>
    </row>
    <row r="9" spans="2:9" ht="22.2" x14ac:dyDescent="0.45">
      <c r="B9" s="28" t="s">
        <v>1297</v>
      </c>
    </row>
    <row r="10" spans="2:9" ht="22.2" x14ac:dyDescent="0.45">
      <c r="B10" s="28"/>
    </row>
    <row r="11" spans="2:9" x14ac:dyDescent="0.45">
      <c r="B11" s="431" t="s">
        <v>93</v>
      </c>
      <c r="C11" s="431"/>
      <c r="D11" s="313"/>
      <c r="E11" s="312" t="s">
        <v>21</v>
      </c>
    </row>
    <row r="12" spans="2:9" ht="22.2" x14ac:dyDescent="0.45">
      <c r="B12" s="28"/>
    </row>
    <row r="13" spans="2:9" ht="22.2" x14ac:dyDescent="0.45">
      <c r="B13" s="28"/>
    </row>
    <row r="16" spans="2:9" x14ac:dyDescent="0.45">
      <c r="I16" s="58"/>
    </row>
    <row r="21" spans="7:10" x14ac:dyDescent="0.45">
      <c r="H21" s="3"/>
      <c r="I21" s="3"/>
      <c r="J21" s="3"/>
    </row>
    <row r="22" spans="7:10" x14ac:dyDescent="0.45">
      <c r="H22" s="3"/>
      <c r="I22" s="3"/>
      <c r="J22" s="77"/>
    </row>
    <row r="23" spans="7:10" x14ac:dyDescent="0.45">
      <c r="H23" s="3"/>
      <c r="I23" s="78"/>
      <c r="J23" s="77"/>
    </row>
    <row r="24" spans="7:10" x14ac:dyDescent="0.45">
      <c r="H24" s="3"/>
      <c r="I24" s="78"/>
      <c r="J24" s="77"/>
    </row>
    <row r="25" spans="7:10" x14ac:dyDescent="0.45">
      <c r="H25" s="3"/>
      <c r="I25" s="3"/>
      <c r="J25" s="77"/>
    </row>
    <row r="26" spans="7:10" x14ac:dyDescent="0.45">
      <c r="H26" s="3"/>
      <c r="I26" s="78"/>
      <c r="J26" s="77"/>
    </row>
    <row r="27" spans="7:10" x14ac:dyDescent="0.45">
      <c r="H27" s="3"/>
      <c r="I27" s="78"/>
      <c r="J27" s="77"/>
    </row>
    <row r="28" spans="7:10" x14ac:dyDescent="0.45">
      <c r="H28" s="3"/>
      <c r="I28" s="3"/>
      <c r="J28" s="77"/>
    </row>
    <row r="29" spans="7:10" x14ac:dyDescent="0.45">
      <c r="G29" s="58"/>
      <c r="H29" s="3"/>
      <c r="I29" s="78"/>
      <c r="J29" s="77"/>
    </row>
    <row r="30" spans="7:10" x14ac:dyDescent="0.45">
      <c r="I30" s="40"/>
    </row>
  </sheetData>
  <mergeCells count="1">
    <mergeCell ref="B11:C11"/>
  </mergeCells>
  <phoneticPr fontId="2"/>
  <hyperlinks>
    <hyperlink ref="I2" location="汚泥処理対策シート!A1" display="クリックで対策シートに戻る" xr:uid="{6BC7F02E-18B3-4A9F-8DFA-60CC5DB75562}"/>
    <hyperlink ref="C6" r:id="rId1" xr:uid="{E8E623A7-855D-4AD9-84AA-5A6D058348D1}"/>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1135A-559C-4932-824A-DAEA8E23E6AA}">
  <sheetPr>
    <tabColor theme="5" tint="-0.499984740745262"/>
    <pageSetUpPr fitToPage="1"/>
  </sheetPr>
  <dimension ref="A1:V149"/>
  <sheetViews>
    <sheetView zoomScale="80" zoomScaleNormal="80" zoomScaleSheetLayoutView="85" workbookViewId="0"/>
  </sheetViews>
  <sheetFormatPr defaultColWidth="9" defaultRowHeight="18" x14ac:dyDescent="0.45"/>
  <cols>
    <col min="1" max="1" width="1.59765625" style="146" customWidth="1"/>
    <col min="2" max="2" width="11" style="146" customWidth="1"/>
    <col min="3" max="3" width="20.69921875" style="146" bestFit="1" customWidth="1"/>
    <col min="4" max="4" width="38.09765625" style="146" bestFit="1" customWidth="1"/>
    <col min="5" max="5" width="16" style="146" bestFit="1" customWidth="1"/>
    <col min="6" max="6" width="27.59765625" style="146" customWidth="1"/>
    <col min="7" max="7" width="30.09765625" style="146" customWidth="1"/>
    <col min="8" max="8" width="22.69921875" style="146" bestFit="1" customWidth="1"/>
    <col min="9" max="9" width="50.09765625" style="146" bestFit="1" customWidth="1"/>
    <col min="10" max="10" width="2.69921875" style="146" customWidth="1"/>
    <col min="11" max="11" width="32.3984375" style="146" bestFit="1" customWidth="1"/>
    <col min="12" max="12" width="10" style="146" bestFit="1" customWidth="1"/>
    <col min="13" max="15" width="1.59765625" style="146" customWidth="1"/>
    <col min="16" max="17" width="19.19921875" style="146" customWidth="1"/>
    <col min="18" max="18" width="8.59765625" style="146" customWidth="1"/>
    <col min="19" max="19" width="21.3984375" style="146" customWidth="1"/>
    <col min="20" max="20" width="11.59765625" style="146" customWidth="1"/>
    <col min="21" max="21" width="11.69921875" style="146" bestFit="1" customWidth="1"/>
    <col min="22" max="22" width="10.09765625" style="146" bestFit="1" customWidth="1"/>
    <col min="23" max="16384" width="9" style="146"/>
  </cols>
  <sheetData>
    <row r="1" spans="2:11" customFormat="1" x14ac:dyDescent="0.45"/>
    <row r="2" spans="2:11" customFormat="1" ht="22.2" x14ac:dyDescent="0.45">
      <c r="B2" s="28" t="s">
        <v>1326</v>
      </c>
      <c r="K2" s="242" t="s">
        <v>1145</v>
      </c>
    </row>
    <row r="3" spans="2:11" customFormat="1" x14ac:dyDescent="0.45">
      <c r="B3" s="32" t="s">
        <v>94</v>
      </c>
      <c r="C3" s="33"/>
      <c r="D3" s="33"/>
      <c r="E3" s="33"/>
      <c r="H3" s="18"/>
      <c r="I3" t="s">
        <v>79</v>
      </c>
    </row>
    <row r="4" spans="2:11" customFormat="1" x14ac:dyDescent="0.45">
      <c r="B4" s="310" t="s">
        <v>97</v>
      </c>
      <c r="C4" s="311"/>
      <c r="D4" s="311"/>
      <c r="E4" s="311"/>
      <c r="H4" s="7"/>
      <c r="I4" t="s">
        <v>80</v>
      </c>
    </row>
    <row r="5" spans="2:11" customFormat="1" x14ac:dyDescent="0.45">
      <c r="H5" s="332"/>
      <c r="I5" t="s">
        <v>1243</v>
      </c>
    </row>
    <row r="6" spans="2:11" customFormat="1" x14ac:dyDescent="0.45">
      <c r="H6" s="11"/>
      <c r="I6" t="s">
        <v>81</v>
      </c>
    </row>
    <row r="7" spans="2:11" customFormat="1" x14ac:dyDescent="0.45">
      <c r="B7" s="31" t="s">
        <v>229</v>
      </c>
      <c r="C7" s="4"/>
      <c r="H7" s="154"/>
      <c r="I7" t="s">
        <v>506</v>
      </c>
    </row>
    <row r="8" spans="2:11" x14ac:dyDescent="0.45">
      <c r="B8" s="31" t="s">
        <v>508</v>
      </c>
      <c r="I8" s="31" t="s">
        <v>507</v>
      </c>
    </row>
    <row r="9" spans="2:11" x14ac:dyDescent="0.45">
      <c r="B9" s="31" t="s">
        <v>1270</v>
      </c>
      <c r="I9" s="31"/>
    </row>
    <row r="10" spans="2:11" x14ac:dyDescent="0.45">
      <c r="B10" s="31"/>
      <c r="I10" s="31"/>
    </row>
    <row r="11" spans="2:11" x14ac:dyDescent="0.45">
      <c r="B11" s="31" t="s">
        <v>509</v>
      </c>
      <c r="I11" s="31"/>
    </row>
    <row r="12" spans="2:11" x14ac:dyDescent="0.45">
      <c r="B12" s="31"/>
      <c r="I12" s="31"/>
    </row>
    <row r="13" spans="2:11" x14ac:dyDescent="0.45">
      <c r="B13" s="31"/>
      <c r="I13" s="31"/>
    </row>
    <row r="14" spans="2:11" x14ac:dyDescent="0.45">
      <c r="B14" s="31"/>
      <c r="I14" s="31"/>
    </row>
    <row r="15" spans="2:11" x14ac:dyDescent="0.45">
      <c r="B15" s="31"/>
      <c r="I15" s="31"/>
    </row>
    <row r="16" spans="2:11" x14ac:dyDescent="0.45">
      <c r="B16" s="31"/>
      <c r="I16" s="31"/>
    </row>
    <row r="17" spans="2:9" x14ac:dyDescent="0.45">
      <c r="B17" s="31"/>
      <c r="I17" s="31"/>
    </row>
    <row r="18" spans="2:9" x14ac:dyDescent="0.45">
      <c r="B18" s="31"/>
      <c r="I18" s="31"/>
    </row>
    <row r="19" spans="2:9" x14ac:dyDescent="0.45">
      <c r="B19" s="31"/>
      <c r="I19" s="31"/>
    </row>
    <row r="20" spans="2:9" x14ac:dyDescent="0.45">
      <c r="B20" s="31"/>
      <c r="I20" s="31"/>
    </row>
    <row r="21" spans="2:9" x14ac:dyDescent="0.45">
      <c r="B21" s="31"/>
      <c r="I21" s="31"/>
    </row>
    <row r="22" spans="2:9" x14ac:dyDescent="0.45">
      <c r="B22" s="31"/>
      <c r="I22" s="31"/>
    </row>
    <row r="23" spans="2:9" x14ac:dyDescent="0.45">
      <c r="B23" s="31"/>
      <c r="I23" s="31"/>
    </row>
    <row r="24" spans="2:9" x14ac:dyDescent="0.45">
      <c r="B24" s="31"/>
      <c r="I24" s="31"/>
    </row>
    <row r="25" spans="2:9" x14ac:dyDescent="0.45">
      <c r="B25" s="31"/>
      <c r="I25" s="31"/>
    </row>
    <row r="28" spans="2:9" ht="32.4" x14ac:dyDescent="0.45">
      <c r="B28" s="86" t="s">
        <v>230</v>
      </c>
      <c r="D28" s="87"/>
    </row>
    <row r="29" spans="2:9" x14ac:dyDescent="0.45">
      <c r="B29" s="407" t="s">
        <v>231</v>
      </c>
      <c r="C29" s="407"/>
      <c r="D29" s="407"/>
      <c r="E29" s="88"/>
      <c r="F29" s="475"/>
      <c r="G29" s="475"/>
      <c r="H29"/>
    </row>
    <row r="30" spans="2:9" x14ac:dyDescent="0.45">
      <c r="B30" s="407" t="s">
        <v>232</v>
      </c>
      <c r="C30" s="407"/>
      <c r="D30" s="18"/>
      <c r="E30" s="90" t="s">
        <v>233</v>
      </c>
      <c r="F30"/>
      <c r="G30"/>
      <c r="H30"/>
    </row>
    <row r="31" spans="2:9" ht="19.8" x14ac:dyDescent="0.45">
      <c r="B31" s="407" t="s">
        <v>234</v>
      </c>
      <c r="C31" s="407"/>
      <c r="D31" s="151">
        <f>D30*(1-D32/100)*100</f>
        <v>0</v>
      </c>
      <c r="E31" s="136" t="s">
        <v>235</v>
      </c>
      <c r="F31"/>
      <c r="G31"/>
      <c r="H31"/>
    </row>
    <row r="32" spans="2:9" x14ac:dyDescent="0.45">
      <c r="B32" s="407" t="s">
        <v>236</v>
      </c>
      <c r="C32" s="407"/>
      <c r="D32" s="26">
        <v>76</v>
      </c>
      <c r="E32" s="136" t="s">
        <v>237</v>
      </c>
      <c r="F32"/>
      <c r="G32"/>
      <c r="H32"/>
    </row>
    <row r="33" spans="2:22" x14ac:dyDescent="0.45">
      <c r="B33" s="407" t="s">
        <v>238</v>
      </c>
      <c r="C33" s="407"/>
      <c r="D33" s="26">
        <v>84</v>
      </c>
      <c r="E33" s="136" t="s">
        <v>237</v>
      </c>
      <c r="F33"/>
      <c r="G33"/>
      <c r="H33"/>
    </row>
    <row r="34" spans="2:22" x14ac:dyDescent="0.45">
      <c r="B34" s="473" t="s">
        <v>239</v>
      </c>
      <c r="C34" s="474"/>
      <c r="D34" s="153">
        <f>365*0.8</f>
        <v>292</v>
      </c>
      <c r="E34" s="136" t="s">
        <v>237</v>
      </c>
      <c r="F34"/>
      <c r="G34"/>
      <c r="H34"/>
    </row>
    <row r="35" spans="2:22" x14ac:dyDescent="0.45">
      <c r="B35" s="407" t="s">
        <v>240</v>
      </c>
      <c r="C35" s="407"/>
      <c r="D35" s="152">
        <f>D30*D34</f>
        <v>0</v>
      </c>
      <c r="E35" s="136" t="s">
        <v>235</v>
      </c>
      <c r="F35"/>
      <c r="G35"/>
      <c r="H35"/>
      <c r="I35" s="94"/>
      <c r="P35" s="16"/>
      <c r="Q35" s="415" t="s">
        <v>241</v>
      </c>
      <c r="R35" s="417"/>
      <c r="S35" s="415" t="s">
        <v>242</v>
      </c>
      <c r="T35" s="417"/>
    </row>
    <row r="36" spans="2:22" ht="19.8" x14ac:dyDescent="0.45">
      <c r="B36" s="407" t="s">
        <v>243</v>
      </c>
      <c r="C36" s="407"/>
      <c r="D36" s="152">
        <f>D35*(1-D32/100)*100</f>
        <v>0</v>
      </c>
      <c r="E36" s="136" t="s">
        <v>235</v>
      </c>
      <c r="F36"/>
      <c r="G36"/>
      <c r="H36"/>
      <c r="I36" s="96"/>
      <c r="P36" s="16" t="s">
        <v>244</v>
      </c>
      <c r="Q36" s="335">
        <v>44.8</v>
      </c>
      <c r="R36" s="16" t="s">
        <v>245</v>
      </c>
      <c r="S36" s="336">
        <v>2.23</v>
      </c>
      <c r="T36" s="92" t="s">
        <v>246</v>
      </c>
      <c r="U36" s="146" t="s">
        <v>247</v>
      </c>
      <c r="V36" s="80" t="s">
        <v>248</v>
      </c>
    </row>
    <row r="37" spans="2:22" ht="19.8" x14ac:dyDescent="0.45">
      <c r="B37" s="407" t="s">
        <v>249</v>
      </c>
      <c r="C37" s="407"/>
      <c r="D37" s="149"/>
      <c r="E37" s="136"/>
      <c r="F37" s="97"/>
      <c r="G37" s="97"/>
      <c r="H37" s="95"/>
      <c r="I37" s="96"/>
      <c r="P37" s="16" t="s">
        <v>250</v>
      </c>
      <c r="Q37" s="335">
        <v>0</v>
      </c>
      <c r="R37" s="16" t="s">
        <v>245</v>
      </c>
      <c r="S37" s="337">
        <v>0</v>
      </c>
      <c r="T37" s="140" t="s">
        <v>251</v>
      </c>
      <c r="U37" s="146" t="s">
        <v>247</v>
      </c>
      <c r="V37" s="80" t="s">
        <v>248</v>
      </c>
    </row>
    <row r="38" spans="2:22" ht="19.8" x14ac:dyDescent="0.45">
      <c r="B38" s="407" t="s">
        <v>252</v>
      </c>
      <c r="C38" s="407"/>
      <c r="D38" s="149"/>
      <c r="F38" s="95"/>
      <c r="G38" s="95"/>
      <c r="H38" s="95"/>
      <c r="I38" s="96"/>
      <c r="P38" s="16" t="s">
        <v>253</v>
      </c>
      <c r="Q38" s="335">
        <v>36.700000000000003</v>
      </c>
      <c r="R38" s="16" t="s">
        <v>254</v>
      </c>
      <c r="S38" s="337">
        <v>2.4900000000000002</v>
      </c>
      <c r="T38" s="140" t="s">
        <v>255</v>
      </c>
      <c r="U38" s="146" t="s">
        <v>256</v>
      </c>
      <c r="V38" s="146" t="s">
        <v>257</v>
      </c>
    </row>
    <row r="39" spans="2:22" ht="19.8" x14ac:dyDescent="0.45">
      <c r="B39" s="476" t="s">
        <v>258</v>
      </c>
      <c r="C39" s="477"/>
      <c r="D39" s="150"/>
      <c r="E39" s="98" t="s">
        <v>259</v>
      </c>
      <c r="F39" s="197" t="s">
        <v>260</v>
      </c>
      <c r="G39" s="199" t="str">
        <f>IF($D$39="","",VLOOKUP($D$39,$P$36:$R$39,2,FALSE))</f>
        <v/>
      </c>
      <c r="H39" s="198" t="str">
        <f>IF($D$39="","",VLOOKUP($D$39,$P$36:$R$39,3,FALSE))</f>
        <v/>
      </c>
      <c r="P39" s="16" t="s">
        <v>261</v>
      </c>
      <c r="Q39" s="335">
        <v>39.1</v>
      </c>
      <c r="R39" s="16" t="s">
        <v>254</v>
      </c>
      <c r="S39" s="337">
        <v>2.71</v>
      </c>
      <c r="T39" s="140" t="s">
        <v>255</v>
      </c>
      <c r="U39" s="146" t="s">
        <v>256</v>
      </c>
      <c r="V39" s="146" t="s">
        <v>257</v>
      </c>
    </row>
    <row r="40" spans="2:22" ht="19.8" x14ac:dyDescent="0.45">
      <c r="B40" s="476" t="s">
        <v>262</v>
      </c>
      <c r="C40" s="477"/>
      <c r="D40" s="150"/>
      <c r="E40" s="99"/>
      <c r="F40" s="197" t="s">
        <v>263</v>
      </c>
      <c r="G40" s="199" t="str">
        <f>IF($D$39="","",VLOOKUP($D$39,$P$36:$T$39,4,FALSE))</f>
        <v/>
      </c>
      <c r="H40" s="198" t="str">
        <f>IF($D$39="","",VLOOKUP($D$39,$P$36:$T$39,5,FALSE))</f>
        <v/>
      </c>
      <c r="O40" s="100"/>
    </row>
    <row r="41" spans="2:22" x14ac:dyDescent="0.45">
      <c r="B41" s="136" t="s">
        <v>264</v>
      </c>
    </row>
    <row r="42" spans="2:22" x14ac:dyDescent="0.45">
      <c r="B42" s="136"/>
    </row>
    <row r="43" spans="2:22" x14ac:dyDescent="0.45">
      <c r="B43" s="101" t="s">
        <v>265</v>
      </c>
      <c r="C43" s="102"/>
      <c r="D43" s="102"/>
      <c r="E43" s="102"/>
      <c r="F43" s="102"/>
      <c r="G43" s="102"/>
      <c r="H43" s="102"/>
      <c r="I43" s="138"/>
    </row>
    <row r="44" spans="2:22" x14ac:dyDescent="0.45">
      <c r="B44" s="93" t="s">
        <v>266</v>
      </c>
      <c r="C44" s="100" t="s">
        <v>267</v>
      </c>
      <c r="I44" s="103"/>
    </row>
    <row r="45" spans="2:22" x14ac:dyDescent="0.45">
      <c r="B45" s="93"/>
      <c r="C45" s="100" t="s">
        <v>268</v>
      </c>
      <c r="I45" s="103"/>
    </row>
    <row r="46" spans="2:22" x14ac:dyDescent="0.45">
      <c r="B46" s="93" t="s">
        <v>266</v>
      </c>
      <c r="C46" s="100" t="s">
        <v>269</v>
      </c>
      <c r="I46" s="103"/>
    </row>
    <row r="47" spans="2:22" x14ac:dyDescent="0.45">
      <c r="B47" s="93"/>
      <c r="C47" s="100" t="s">
        <v>270</v>
      </c>
      <c r="I47" s="103"/>
    </row>
    <row r="48" spans="2:22" x14ac:dyDescent="0.45">
      <c r="B48" s="93"/>
      <c r="C48" s="100" t="s">
        <v>271</v>
      </c>
      <c r="I48" s="103"/>
    </row>
    <row r="49" spans="1:18" x14ac:dyDescent="0.45">
      <c r="B49" s="93" t="s">
        <v>266</v>
      </c>
      <c r="C49" s="100" t="s">
        <v>272</v>
      </c>
      <c r="I49" s="103"/>
    </row>
    <row r="50" spans="1:18" x14ac:dyDescent="0.45">
      <c r="B50" s="93"/>
      <c r="C50" s="100" t="s">
        <v>273</v>
      </c>
      <c r="I50" s="103"/>
    </row>
    <row r="51" spans="1:18" x14ac:dyDescent="0.45">
      <c r="B51" s="104"/>
      <c r="C51" s="105" t="s">
        <v>274</v>
      </c>
      <c r="D51" s="106"/>
      <c r="E51" s="106"/>
      <c r="F51" s="106"/>
      <c r="G51" s="106"/>
      <c r="H51" s="106"/>
      <c r="I51" s="139"/>
    </row>
    <row r="52" spans="1:18" ht="32.4" x14ac:dyDescent="0.45">
      <c r="F52" s="100"/>
      <c r="O52" s="86"/>
    </row>
    <row r="53" spans="1:18" ht="32.4" hidden="1" x14ac:dyDescent="0.45">
      <c r="B53" s="86" t="s">
        <v>275</v>
      </c>
      <c r="Q53" s="107"/>
    </row>
    <row r="54" spans="1:18" hidden="1" x14ac:dyDescent="0.45">
      <c r="A54" s="107"/>
      <c r="B54" s="16" t="s">
        <v>276</v>
      </c>
      <c r="C54" s="16" t="s">
        <v>277</v>
      </c>
      <c r="D54" s="16" t="s">
        <v>27</v>
      </c>
      <c r="E54" s="16" t="s">
        <v>28</v>
      </c>
      <c r="F54" s="415" t="s">
        <v>278</v>
      </c>
      <c r="G54" s="417"/>
      <c r="H54" s="16" t="s">
        <v>279</v>
      </c>
      <c r="I54" s="16" t="s">
        <v>280</v>
      </c>
      <c r="Q54" s="107"/>
      <c r="R54" s="478"/>
    </row>
    <row r="55" spans="1:18" ht="18.600000000000001" hidden="1" customHeight="1" x14ac:dyDescent="0.45">
      <c r="B55" s="479" t="s">
        <v>131</v>
      </c>
      <c r="C55" s="108" t="s">
        <v>281</v>
      </c>
      <c r="D55" s="109" t="s">
        <v>282</v>
      </c>
      <c r="E55" s="16" t="s">
        <v>283</v>
      </c>
      <c r="F55" s="482" t="s">
        <v>284</v>
      </c>
      <c r="G55" s="483"/>
      <c r="H55" s="110">
        <f>0.227*$D$31^0.444*100*G30</f>
        <v>0</v>
      </c>
      <c r="I55" s="1" t="s">
        <v>285</v>
      </c>
      <c r="K55" s="111"/>
      <c r="O55" s="475"/>
      <c r="Q55" s="107"/>
      <c r="R55" s="478"/>
    </row>
    <row r="56" spans="1:18" ht="19.5" hidden="1" customHeight="1" x14ac:dyDescent="0.45">
      <c r="B56" s="480"/>
      <c r="C56" s="112"/>
      <c r="D56" s="10" t="s">
        <v>286</v>
      </c>
      <c r="E56" s="16" t="s">
        <v>283</v>
      </c>
      <c r="F56" s="484" t="s">
        <v>287</v>
      </c>
      <c r="G56" s="483"/>
      <c r="H56" s="110">
        <f>0.434*$D$31^0.373*100*G30</f>
        <v>0</v>
      </c>
      <c r="I56" s="1" t="s">
        <v>288</v>
      </c>
      <c r="O56" s="475"/>
      <c r="Q56" s="107"/>
      <c r="R56" s="145"/>
    </row>
    <row r="57" spans="1:18" ht="19.5" hidden="1" customHeight="1" x14ac:dyDescent="0.45">
      <c r="B57" s="480"/>
      <c r="C57" s="112"/>
      <c r="D57" s="10" t="s">
        <v>289</v>
      </c>
      <c r="E57" s="16" t="s">
        <v>283</v>
      </c>
      <c r="F57" s="484" t="s">
        <v>42</v>
      </c>
      <c r="G57" s="483"/>
      <c r="H57" s="110" t="s">
        <v>42</v>
      </c>
      <c r="I57" s="1" t="s">
        <v>290</v>
      </c>
      <c r="O57" s="475"/>
      <c r="Q57" s="107"/>
      <c r="R57" s="145"/>
    </row>
    <row r="58" spans="1:18" ht="19.5" hidden="1" customHeight="1" x14ac:dyDescent="0.45">
      <c r="B58" s="480"/>
      <c r="C58" s="112"/>
      <c r="D58" s="10" t="s">
        <v>291</v>
      </c>
      <c r="E58" s="16" t="s">
        <v>292</v>
      </c>
      <c r="F58" s="484" t="s">
        <v>293</v>
      </c>
      <c r="G58" s="483"/>
      <c r="H58" s="110">
        <f>0.039*D36^0.596</f>
        <v>0</v>
      </c>
      <c r="I58" s="1" t="s">
        <v>294</v>
      </c>
      <c r="O58" s="475"/>
      <c r="Q58" s="107"/>
      <c r="R58" s="145"/>
    </row>
    <row r="59" spans="1:18" ht="19.5" hidden="1" customHeight="1" x14ac:dyDescent="0.45">
      <c r="B59" s="480"/>
      <c r="C59" s="108" t="s">
        <v>295</v>
      </c>
      <c r="D59" s="109" t="s">
        <v>282</v>
      </c>
      <c r="E59" s="16" t="s">
        <v>283</v>
      </c>
      <c r="F59" s="484" t="s">
        <v>296</v>
      </c>
      <c r="G59" s="483"/>
      <c r="H59" s="110">
        <f>2.426*$D$30^0.0094*100*G30</f>
        <v>0</v>
      </c>
      <c r="I59" s="1" t="s">
        <v>297</v>
      </c>
      <c r="O59" s="475"/>
      <c r="R59" s="145"/>
    </row>
    <row r="60" spans="1:18" ht="19.5" hidden="1" customHeight="1" x14ac:dyDescent="0.45">
      <c r="B60" s="480"/>
      <c r="C60" s="112"/>
      <c r="D60" s="10" t="s">
        <v>286</v>
      </c>
      <c r="E60" s="16" t="s">
        <v>283</v>
      </c>
      <c r="F60" s="484" t="s">
        <v>298</v>
      </c>
      <c r="G60" s="483"/>
      <c r="H60" s="110">
        <f>1.888*$D$30^0.597*100*G30</f>
        <v>0</v>
      </c>
      <c r="I60" s="2" t="s">
        <v>299</v>
      </c>
      <c r="O60" s="475"/>
      <c r="Q60" s="107"/>
      <c r="R60" s="145"/>
    </row>
    <row r="61" spans="1:18" ht="19.5" hidden="1" customHeight="1" x14ac:dyDescent="0.45">
      <c r="B61" s="480"/>
      <c r="C61" s="112"/>
      <c r="D61" s="141" t="s">
        <v>289</v>
      </c>
      <c r="E61" s="16" t="s">
        <v>283</v>
      </c>
      <c r="F61" s="484" t="s">
        <v>300</v>
      </c>
      <c r="G61" s="483"/>
      <c r="H61" s="110">
        <f>0.726*$D$30^0.539*100*G30</f>
        <v>0</v>
      </c>
      <c r="I61" s="1" t="s">
        <v>301</v>
      </c>
      <c r="O61" s="475"/>
      <c r="Q61" s="107"/>
      <c r="R61" s="145"/>
    </row>
    <row r="62" spans="1:18" ht="19.5" hidden="1" customHeight="1" x14ac:dyDescent="0.45">
      <c r="B62" s="480"/>
      <c r="C62" s="113"/>
      <c r="D62" s="10" t="s">
        <v>302</v>
      </c>
      <c r="E62" s="16" t="s">
        <v>292</v>
      </c>
      <c r="F62" s="415" t="s">
        <v>303</v>
      </c>
      <c r="G62" s="417"/>
      <c r="H62" s="110">
        <f>0.287*D35^0.673</f>
        <v>0</v>
      </c>
      <c r="I62" s="1" t="s">
        <v>304</v>
      </c>
      <c r="O62" s="475"/>
      <c r="Q62" s="107"/>
    </row>
    <row r="63" spans="1:18" ht="19.5" hidden="1" customHeight="1" x14ac:dyDescent="0.45">
      <c r="B63" s="480"/>
      <c r="C63" s="113"/>
      <c r="D63" s="10" t="s">
        <v>305</v>
      </c>
      <c r="E63" s="16" t="s">
        <v>292</v>
      </c>
      <c r="F63" s="415" t="s">
        <v>306</v>
      </c>
      <c r="G63" s="417"/>
      <c r="H63" s="110">
        <f>D35*(1-D32/100)*(1-D33/100)/(1-30/100)*G36/1000000</f>
        <v>0</v>
      </c>
      <c r="I63" s="1" t="s">
        <v>307</v>
      </c>
      <c r="O63" s="475"/>
    </row>
    <row r="64" spans="1:18" ht="19.5" hidden="1" customHeight="1" x14ac:dyDescent="0.45">
      <c r="B64" s="480"/>
      <c r="C64" s="415" t="s">
        <v>308</v>
      </c>
      <c r="D64" s="417"/>
      <c r="E64" s="16" t="s">
        <v>283</v>
      </c>
      <c r="F64" s="415" t="s">
        <v>42</v>
      </c>
      <c r="G64" s="417"/>
      <c r="H64" s="110">
        <f>+H55+H56+H59+H60+H61</f>
        <v>0</v>
      </c>
      <c r="I64" s="1" t="s">
        <v>309</v>
      </c>
    </row>
    <row r="65" spans="2:17" ht="19.5" hidden="1" customHeight="1" x14ac:dyDescent="0.45">
      <c r="B65" s="480"/>
      <c r="C65" s="485" t="s">
        <v>310</v>
      </c>
      <c r="D65" s="486"/>
      <c r="E65" s="420" t="s">
        <v>292</v>
      </c>
      <c r="F65" s="489" t="s">
        <v>311</v>
      </c>
      <c r="G65" s="490"/>
      <c r="H65" s="493">
        <f>$H55*L65/100*(1+L65/100)^L67/((1+L65/100)^L67-1)
+$H56*L65/100*(1+L65/100)^L69/((1+L65/100)^L69-1)
+$H59*L65/100*(1+L65/100)^L67/((1+L65/100)^L67-1)
+$H60*L65/100*(1+L65/100)^L68/((1+L65/100)^L68-1)
+$H61*L65/100*(1+L65/100)^L70/((1+L65/100)^L70-1)</f>
        <v>0</v>
      </c>
      <c r="I65" s="501" t="s">
        <v>312</v>
      </c>
      <c r="K65" s="16" t="s">
        <v>313</v>
      </c>
      <c r="L65" s="89">
        <v>2.2999999999999998</v>
      </c>
      <c r="Q65" s="114"/>
    </row>
    <row r="66" spans="2:17" ht="19.5" hidden="1" customHeight="1" x14ac:dyDescent="0.45">
      <c r="B66" s="480"/>
      <c r="C66" s="487"/>
      <c r="D66" s="488"/>
      <c r="E66" s="419"/>
      <c r="F66" s="491"/>
      <c r="G66" s="492"/>
      <c r="H66" s="494"/>
      <c r="I66" s="502"/>
      <c r="K66" s="423" t="s">
        <v>314</v>
      </c>
      <c r="L66" s="423"/>
    </row>
    <row r="67" spans="2:17" ht="19.5" hidden="1" customHeight="1" x14ac:dyDescent="0.45">
      <c r="B67" s="480"/>
      <c r="C67" s="489" t="s">
        <v>315</v>
      </c>
      <c r="D67" s="490"/>
      <c r="E67" s="420" t="s">
        <v>292</v>
      </c>
      <c r="F67" s="485" t="s">
        <v>42</v>
      </c>
      <c r="G67" s="486"/>
      <c r="H67" s="499">
        <f>H58+H62+H63</f>
        <v>0</v>
      </c>
      <c r="I67" s="479" t="s">
        <v>316</v>
      </c>
      <c r="K67" s="16" t="s">
        <v>317</v>
      </c>
      <c r="L67" s="115">
        <v>50</v>
      </c>
    </row>
    <row r="68" spans="2:17" ht="19.2" hidden="1" customHeight="1" x14ac:dyDescent="0.45">
      <c r="B68" s="480"/>
      <c r="C68" s="491"/>
      <c r="D68" s="492"/>
      <c r="E68" s="419"/>
      <c r="F68" s="487"/>
      <c r="G68" s="488"/>
      <c r="H68" s="500"/>
      <c r="I68" s="481"/>
      <c r="K68" s="13" t="s">
        <v>318</v>
      </c>
      <c r="L68" s="116">
        <v>10</v>
      </c>
    </row>
    <row r="69" spans="2:17" ht="19.2" hidden="1" customHeight="1" x14ac:dyDescent="0.45">
      <c r="B69" s="480"/>
      <c r="C69" s="415" t="s">
        <v>319</v>
      </c>
      <c r="D69" s="417"/>
      <c r="E69" s="16" t="s">
        <v>292</v>
      </c>
      <c r="F69" s="415" t="s">
        <v>320</v>
      </c>
      <c r="G69" s="417"/>
      <c r="H69" s="117">
        <f>H65*0.1</f>
        <v>0</v>
      </c>
      <c r="I69" s="144" t="s">
        <v>321</v>
      </c>
      <c r="K69" s="13" t="s">
        <v>322</v>
      </c>
      <c r="L69" s="118">
        <v>15</v>
      </c>
    </row>
    <row r="70" spans="2:17" ht="18.600000000000001" hidden="1" customHeight="1" x14ac:dyDescent="0.45">
      <c r="B70" s="480"/>
      <c r="C70" s="495" t="s">
        <v>323</v>
      </c>
      <c r="D70" s="496"/>
      <c r="E70" s="420" t="s">
        <v>292</v>
      </c>
      <c r="F70" s="485" t="s">
        <v>42</v>
      </c>
      <c r="G70" s="486"/>
      <c r="H70" s="499">
        <f>+H65+H67+H69</f>
        <v>0</v>
      </c>
      <c r="I70" s="479" t="s">
        <v>324</v>
      </c>
      <c r="K70" s="16" t="s">
        <v>325</v>
      </c>
      <c r="L70" s="89">
        <v>15</v>
      </c>
      <c r="O70" s="86"/>
    </row>
    <row r="71" spans="2:17" ht="18.600000000000001" hidden="1" customHeight="1" x14ac:dyDescent="0.45">
      <c r="B71" s="481"/>
      <c r="C71" s="497"/>
      <c r="D71" s="498"/>
      <c r="E71" s="419"/>
      <c r="F71" s="487"/>
      <c r="G71" s="488"/>
      <c r="H71" s="500"/>
      <c r="I71" s="481"/>
      <c r="Q71" s="107"/>
    </row>
    <row r="72" spans="2:17" ht="19.5" hidden="1" customHeight="1" x14ac:dyDescent="0.45">
      <c r="B72" s="479" t="s">
        <v>326</v>
      </c>
      <c r="C72" s="108" t="s">
        <v>281</v>
      </c>
      <c r="D72" s="141" t="s">
        <v>286</v>
      </c>
      <c r="E72" s="16" t="s">
        <v>283</v>
      </c>
      <c r="F72" s="505" t="s">
        <v>327</v>
      </c>
      <c r="G72" s="506"/>
      <c r="H72" s="110">
        <f>3.365*$D$30+444.3</f>
        <v>444.3</v>
      </c>
      <c r="I72" s="119" t="s">
        <v>328</v>
      </c>
      <c r="K72" s="111"/>
      <c r="Q72" s="107"/>
    </row>
    <row r="73" spans="2:17" ht="36" hidden="1" x14ac:dyDescent="0.45">
      <c r="B73" s="480"/>
      <c r="C73" s="113"/>
      <c r="D73" s="141" t="s">
        <v>329</v>
      </c>
      <c r="E73" s="133" t="s">
        <v>330</v>
      </c>
      <c r="F73" s="484" t="s">
        <v>331</v>
      </c>
      <c r="G73" s="483"/>
      <c r="H73" s="120">
        <f>4.654*$D$30</f>
        <v>0</v>
      </c>
      <c r="I73" s="121" t="s">
        <v>332</v>
      </c>
      <c r="Q73" s="107"/>
    </row>
    <row r="74" spans="2:17" ht="19.5" hidden="1" customHeight="1" x14ac:dyDescent="0.45">
      <c r="B74" s="480"/>
      <c r="C74" s="113"/>
      <c r="D74" s="144"/>
      <c r="E74" s="132" t="s">
        <v>292</v>
      </c>
      <c r="F74" s="503" t="s">
        <v>333</v>
      </c>
      <c r="G74" s="504"/>
      <c r="H74" s="120">
        <f>H73*G31*10^-3</f>
        <v>0</v>
      </c>
      <c r="I74" s="122" t="s">
        <v>334</v>
      </c>
      <c r="Q74" s="107"/>
    </row>
    <row r="75" spans="2:17" ht="36" hidden="1" x14ac:dyDescent="0.45">
      <c r="B75" s="480"/>
      <c r="C75" s="113"/>
      <c r="D75" s="141" t="s">
        <v>335</v>
      </c>
      <c r="E75" s="133" t="s">
        <v>336</v>
      </c>
      <c r="F75" s="484" t="s">
        <v>337</v>
      </c>
      <c r="G75" s="483"/>
      <c r="H75" s="120">
        <f>0.516*$D$30</f>
        <v>0</v>
      </c>
      <c r="I75" s="122" t="s">
        <v>338</v>
      </c>
      <c r="Q75" s="107"/>
    </row>
    <row r="76" spans="2:17" ht="19.5" hidden="1" customHeight="1" x14ac:dyDescent="0.45">
      <c r="B76" s="480"/>
      <c r="C76" s="113"/>
      <c r="D76" s="144"/>
      <c r="E76" s="132" t="s">
        <v>292</v>
      </c>
      <c r="F76" s="503" t="s">
        <v>339</v>
      </c>
      <c r="G76" s="504"/>
      <c r="H76" s="120">
        <f>H75*G32*10^-6</f>
        <v>0</v>
      </c>
      <c r="I76" s="122" t="s">
        <v>340</v>
      </c>
      <c r="Q76" s="114"/>
    </row>
    <row r="77" spans="2:17" ht="36" hidden="1" x14ac:dyDescent="0.45">
      <c r="B77" s="480"/>
      <c r="C77" s="113"/>
      <c r="D77" s="141" t="s">
        <v>341</v>
      </c>
      <c r="E77" s="133" t="s">
        <v>336</v>
      </c>
      <c r="F77" s="484" t="s">
        <v>342</v>
      </c>
      <c r="G77" s="483"/>
      <c r="H77" s="120">
        <f>3.688*$D$30</f>
        <v>0</v>
      </c>
      <c r="I77" s="122" t="s">
        <v>343</v>
      </c>
      <c r="Q77" s="114"/>
    </row>
    <row r="78" spans="2:17" ht="19.5" hidden="1" customHeight="1" x14ac:dyDescent="0.45">
      <c r="B78" s="480"/>
      <c r="C78" s="113"/>
      <c r="D78" s="142"/>
      <c r="E78" s="132" t="s">
        <v>292</v>
      </c>
      <c r="F78" s="503" t="s">
        <v>339</v>
      </c>
      <c r="G78" s="504"/>
      <c r="H78" s="120">
        <f>H77*G33*10^-6</f>
        <v>0</v>
      </c>
      <c r="I78" s="122" t="s">
        <v>344</v>
      </c>
      <c r="Q78" s="114"/>
    </row>
    <row r="79" spans="2:17" ht="19.5" hidden="1" customHeight="1" x14ac:dyDescent="0.45">
      <c r="B79" s="480"/>
      <c r="C79" s="108" t="s">
        <v>345</v>
      </c>
      <c r="D79" s="109" t="s">
        <v>282</v>
      </c>
      <c r="E79" s="16" t="s">
        <v>283</v>
      </c>
      <c r="F79" s="484" t="s">
        <v>346</v>
      </c>
      <c r="G79" s="483"/>
      <c r="H79" s="120">
        <f>0.438*$D$30+117</f>
        <v>117</v>
      </c>
      <c r="I79" s="122" t="s">
        <v>347</v>
      </c>
      <c r="Q79" s="114"/>
    </row>
    <row r="80" spans="2:17" ht="19.5" hidden="1" customHeight="1" x14ac:dyDescent="0.45">
      <c r="B80" s="480"/>
      <c r="C80" s="113"/>
      <c r="D80" s="10" t="s">
        <v>286</v>
      </c>
      <c r="E80" s="16" t="s">
        <v>283</v>
      </c>
      <c r="F80" s="484" t="s">
        <v>348</v>
      </c>
      <c r="G80" s="483"/>
      <c r="H80" s="120">
        <f>9*$D$30+1533</f>
        <v>1533</v>
      </c>
      <c r="I80" s="122" t="s">
        <v>349</v>
      </c>
      <c r="Q80" s="114"/>
    </row>
    <row r="81" spans="2:17" ht="19.5" hidden="1" customHeight="1" x14ac:dyDescent="0.45">
      <c r="B81" s="480"/>
      <c r="C81" s="113"/>
      <c r="D81" s="10" t="s">
        <v>289</v>
      </c>
      <c r="E81" s="16" t="s">
        <v>283</v>
      </c>
      <c r="F81" s="484" t="s">
        <v>350</v>
      </c>
      <c r="G81" s="483"/>
      <c r="H81" s="120">
        <f>1*$D$30+600</f>
        <v>600</v>
      </c>
      <c r="I81" s="122" t="s">
        <v>351</v>
      </c>
      <c r="Q81" s="114"/>
    </row>
    <row r="82" spans="2:17" ht="36" hidden="1" x14ac:dyDescent="0.45">
      <c r="B82" s="480"/>
      <c r="C82" s="113"/>
      <c r="D82" s="141" t="s">
        <v>329</v>
      </c>
      <c r="E82" s="133" t="s">
        <v>330</v>
      </c>
      <c r="F82" s="484" t="s">
        <v>352</v>
      </c>
      <c r="G82" s="483"/>
      <c r="H82" s="120">
        <f>15.26*$D$30+115</f>
        <v>115</v>
      </c>
      <c r="I82" s="121" t="s">
        <v>332</v>
      </c>
      <c r="Q82" s="114"/>
    </row>
    <row r="83" spans="2:17" ht="19.5" hidden="1" customHeight="1" x14ac:dyDescent="0.45">
      <c r="B83" s="480"/>
      <c r="C83" s="113"/>
      <c r="D83" s="144"/>
      <c r="E83" s="132" t="s">
        <v>292</v>
      </c>
      <c r="F83" s="503" t="s">
        <v>333</v>
      </c>
      <c r="G83" s="504"/>
      <c r="H83" s="120">
        <f>H82*G31*10^-3</f>
        <v>0</v>
      </c>
      <c r="I83" s="122" t="s">
        <v>353</v>
      </c>
      <c r="Q83" s="114"/>
    </row>
    <row r="84" spans="2:17" ht="36" hidden="1" x14ac:dyDescent="0.45">
      <c r="B84" s="480"/>
      <c r="C84" s="113"/>
      <c r="D84" s="141" t="s">
        <v>354</v>
      </c>
      <c r="E84" s="133" t="s">
        <v>355</v>
      </c>
      <c r="F84" s="484" t="s">
        <v>356</v>
      </c>
      <c r="G84" s="483"/>
      <c r="H84" s="120">
        <f>0.252*$D$30+1.439</f>
        <v>1.4390000000000001</v>
      </c>
      <c r="I84" s="122" t="s">
        <v>357</v>
      </c>
      <c r="Q84" s="114"/>
    </row>
    <row r="85" spans="2:17" ht="19.5" hidden="1" customHeight="1" x14ac:dyDescent="0.45">
      <c r="B85" s="480"/>
      <c r="C85" s="113"/>
      <c r="D85" s="142"/>
      <c r="E85" s="132" t="s">
        <v>292</v>
      </c>
      <c r="F85" s="503" t="s">
        <v>358</v>
      </c>
      <c r="G85" s="504"/>
      <c r="H85" s="120">
        <f>H84*G34*10^-3</f>
        <v>0</v>
      </c>
      <c r="I85" s="122" t="s">
        <v>359</v>
      </c>
      <c r="Q85" s="114"/>
    </row>
    <row r="86" spans="2:17" ht="36" hidden="1" x14ac:dyDescent="0.45">
      <c r="B86" s="480"/>
      <c r="C86" s="113"/>
      <c r="D86" s="141" t="s">
        <v>360</v>
      </c>
      <c r="E86" s="133" t="s">
        <v>361</v>
      </c>
      <c r="F86" s="484" t="s">
        <v>362</v>
      </c>
      <c r="G86" s="483"/>
      <c r="H86" s="120">
        <f>4.05*$D$30</f>
        <v>0</v>
      </c>
      <c r="I86" s="121" t="s">
        <v>363</v>
      </c>
      <c r="Q86" s="114"/>
    </row>
    <row r="87" spans="2:17" ht="19.5" hidden="1" customHeight="1" x14ac:dyDescent="0.45">
      <c r="B87" s="480"/>
      <c r="C87" s="113"/>
      <c r="D87" s="142"/>
      <c r="E87" s="132" t="s">
        <v>292</v>
      </c>
      <c r="F87" s="503" t="s">
        <v>364</v>
      </c>
      <c r="G87" s="504"/>
      <c r="H87" s="120">
        <f>H86*G35*10^-3</f>
        <v>0</v>
      </c>
      <c r="I87" s="122" t="s">
        <v>365</v>
      </c>
      <c r="Q87" s="114"/>
    </row>
    <row r="88" spans="2:17" ht="36" hidden="1" x14ac:dyDescent="0.45">
      <c r="B88" s="480"/>
      <c r="C88" s="113"/>
      <c r="D88" s="141" t="s">
        <v>366</v>
      </c>
      <c r="E88" s="133" t="s">
        <v>367</v>
      </c>
      <c r="F88" s="484" t="s">
        <v>368</v>
      </c>
      <c r="G88" s="483"/>
      <c r="H88" s="120">
        <f>17.101*$D$30</f>
        <v>0</v>
      </c>
      <c r="I88" s="121" t="s">
        <v>332</v>
      </c>
      <c r="Q88" s="114"/>
    </row>
    <row r="89" spans="2:17" ht="19.5" hidden="1" customHeight="1" x14ac:dyDescent="0.45">
      <c r="B89" s="480"/>
      <c r="C89" s="113"/>
      <c r="D89" s="142"/>
      <c r="E89" s="132" t="s">
        <v>292</v>
      </c>
      <c r="F89" s="503" t="s">
        <v>369</v>
      </c>
      <c r="G89" s="504"/>
      <c r="H89" s="120">
        <f>H88*G36*10^-6</f>
        <v>0</v>
      </c>
      <c r="I89" s="122" t="s">
        <v>370</v>
      </c>
      <c r="Q89" s="114"/>
    </row>
    <row r="90" spans="2:17" ht="19.5" hidden="1" customHeight="1" x14ac:dyDescent="0.45">
      <c r="B90" s="480"/>
      <c r="C90" s="108" t="s">
        <v>371</v>
      </c>
      <c r="D90" s="10" t="s">
        <v>286</v>
      </c>
      <c r="E90" s="16" t="s">
        <v>283</v>
      </c>
      <c r="F90" s="484" t="s">
        <v>372</v>
      </c>
      <c r="G90" s="483"/>
      <c r="H90" s="120">
        <f>0.772*$D$30+282</f>
        <v>282</v>
      </c>
      <c r="I90" s="122" t="s">
        <v>373</v>
      </c>
      <c r="Q90" s="114"/>
    </row>
    <row r="91" spans="2:17" ht="36" hidden="1" x14ac:dyDescent="0.45">
      <c r="B91" s="480"/>
      <c r="C91" s="113"/>
      <c r="D91" s="141" t="s">
        <v>329</v>
      </c>
      <c r="E91" s="133" t="s">
        <v>330</v>
      </c>
      <c r="F91" s="484" t="s">
        <v>374</v>
      </c>
      <c r="G91" s="483"/>
      <c r="H91" s="120">
        <f>0.32*$D$30+57.44</f>
        <v>57.44</v>
      </c>
      <c r="I91" s="121" t="s">
        <v>332</v>
      </c>
      <c r="Q91" s="114"/>
    </row>
    <row r="92" spans="2:17" ht="19.5" hidden="1" customHeight="1" x14ac:dyDescent="0.45">
      <c r="B92" s="480"/>
      <c r="C92" s="113"/>
      <c r="D92" s="144"/>
      <c r="E92" s="132" t="s">
        <v>292</v>
      </c>
      <c r="F92" s="503" t="s">
        <v>333</v>
      </c>
      <c r="G92" s="504"/>
      <c r="H92" s="120">
        <f>H91*G31*10^-3</f>
        <v>0</v>
      </c>
      <c r="I92" s="122" t="s">
        <v>375</v>
      </c>
      <c r="Q92" s="114"/>
    </row>
    <row r="93" spans="2:17" ht="36" hidden="1" x14ac:dyDescent="0.45">
      <c r="B93" s="480"/>
      <c r="C93" s="113"/>
      <c r="D93" s="141" t="s">
        <v>376</v>
      </c>
      <c r="E93" s="133" t="s">
        <v>377</v>
      </c>
      <c r="F93" s="484" t="s">
        <v>378</v>
      </c>
      <c r="G93" s="483"/>
      <c r="H93" s="120">
        <f>13.04*$D$30-275.1</f>
        <v>-275.10000000000002</v>
      </c>
      <c r="I93" s="121" t="s">
        <v>332</v>
      </c>
      <c r="Q93" s="114"/>
    </row>
    <row r="94" spans="2:17" ht="19.5" hidden="1" customHeight="1" x14ac:dyDescent="0.45">
      <c r="B94" s="480"/>
      <c r="C94" s="113"/>
      <c r="D94" s="142"/>
      <c r="E94" s="132" t="s">
        <v>292</v>
      </c>
      <c r="F94" s="507" t="s">
        <v>379</v>
      </c>
      <c r="G94" s="508"/>
      <c r="H94" s="120">
        <f>H93*G31*10^-3</f>
        <v>0</v>
      </c>
      <c r="I94" s="1" t="s">
        <v>380</v>
      </c>
      <c r="K94" s="97"/>
      <c r="L94" s="97"/>
      <c r="Q94" s="114"/>
    </row>
    <row r="95" spans="2:17" ht="19.2" hidden="1" customHeight="1" x14ac:dyDescent="0.45">
      <c r="B95" s="480"/>
      <c r="C95" s="415" t="s">
        <v>308</v>
      </c>
      <c r="D95" s="417"/>
      <c r="E95" s="16" t="s">
        <v>283</v>
      </c>
      <c r="F95" s="415" t="s">
        <v>42</v>
      </c>
      <c r="G95" s="417"/>
      <c r="H95" s="120">
        <f>+H72+H79+H80+H81+H90</f>
        <v>2976.3</v>
      </c>
      <c r="I95" s="1" t="s">
        <v>381</v>
      </c>
      <c r="K95" s="97"/>
      <c r="L95" s="97"/>
      <c r="Q95" s="114"/>
    </row>
    <row r="96" spans="2:17" ht="19.2" hidden="1" customHeight="1" x14ac:dyDescent="0.45">
      <c r="B96" s="480"/>
      <c r="C96" s="485" t="s">
        <v>310</v>
      </c>
      <c r="D96" s="486"/>
      <c r="E96" s="420" t="s">
        <v>292</v>
      </c>
      <c r="F96" s="485" t="s">
        <v>382</v>
      </c>
      <c r="G96" s="486"/>
      <c r="H96" s="509">
        <f>+H72*L96/100*(1+L96/100)^L100/((1+L96/100)^L100-1)
+H79*L96/100*(1+L96/100)^L98/((1+L96/100)^L98-1)
+H80*L96/100*(1+L96/100)^L99/((1+L96/100)^L99-1)
+H81*L96/100*(1+L96/100)^L101/((1+L96/100)^L101-1)
+H90*L96/100*(1+L96/100)^L100/((1+L96/100)^L100-1)</f>
        <v>282.8661133693297</v>
      </c>
      <c r="I96" s="501" t="s">
        <v>383</v>
      </c>
      <c r="K96" s="92" t="s">
        <v>313</v>
      </c>
      <c r="L96" s="91">
        <v>2.2999999999999998</v>
      </c>
      <c r="Q96" s="114"/>
    </row>
    <row r="97" spans="2:17" ht="19.5" hidden="1" customHeight="1" x14ac:dyDescent="0.45">
      <c r="B97" s="480"/>
      <c r="C97" s="487"/>
      <c r="D97" s="488"/>
      <c r="E97" s="419"/>
      <c r="F97" s="487"/>
      <c r="G97" s="488"/>
      <c r="H97" s="510"/>
      <c r="I97" s="502"/>
      <c r="K97" s="511" t="s">
        <v>314</v>
      </c>
      <c r="L97" s="511"/>
      <c r="Q97" s="114"/>
    </row>
    <row r="98" spans="2:17" ht="18" hidden="1" customHeight="1" x14ac:dyDescent="0.45">
      <c r="B98" s="480"/>
      <c r="C98" s="123" t="s">
        <v>384</v>
      </c>
      <c r="D98" s="512" t="s">
        <v>385</v>
      </c>
      <c r="E98" s="420" t="s">
        <v>292</v>
      </c>
      <c r="F98" s="514" t="s">
        <v>386</v>
      </c>
      <c r="G98" s="515"/>
      <c r="H98" s="509">
        <f>+H72*0.024+(H79+H80+H81)*0.024+H90*0.013</f>
        <v>68.3292</v>
      </c>
      <c r="I98" s="479" t="s">
        <v>387</v>
      </c>
      <c r="K98" s="140" t="s">
        <v>317</v>
      </c>
      <c r="L98" s="91">
        <v>50</v>
      </c>
      <c r="Q98" s="114"/>
    </row>
    <row r="99" spans="2:17" hidden="1" x14ac:dyDescent="0.45">
      <c r="B99" s="480"/>
      <c r="C99" s="113"/>
      <c r="D99" s="513"/>
      <c r="E99" s="419"/>
      <c r="F99" s="516"/>
      <c r="G99" s="517"/>
      <c r="H99" s="510"/>
      <c r="I99" s="481"/>
      <c r="K99" s="137" t="s">
        <v>318</v>
      </c>
      <c r="L99" s="124">
        <v>10</v>
      </c>
      <c r="Q99" s="125"/>
    </row>
    <row r="100" spans="2:17" ht="19.5" hidden="1" customHeight="1" x14ac:dyDescent="0.45">
      <c r="B100" s="480"/>
      <c r="C100" s="113"/>
      <c r="D100" s="10" t="s">
        <v>388</v>
      </c>
      <c r="E100" s="132" t="s">
        <v>292</v>
      </c>
      <c r="F100" s="507" t="s">
        <v>389</v>
      </c>
      <c r="G100" s="508"/>
      <c r="H100" s="120">
        <f>7*1+4*12</f>
        <v>55</v>
      </c>
      <c r="I100" s="1" t="s">
        <v>390</v>
      </c>
      <c r="K100" s="137" t="s">
        <v>322</v>
      </c>
      <c r="L100" s="124">
        <v>15</v>
      </c>
      <c r="Q100" s="114"/>
    </row>
    <row r="101" spans="2:17" ht="19.5" hidden="1" customHeight="1" x14ac:dyDescent="0.45">
      <c r="B101" s="480"/>
      <c r="C101" s="489" t="s">
        <v>315</v>
      </c>
      <c r="D101" s="490"/>
      <c r="E101" s="420" t="s">
        <v>292</v>
      </c>
      <c r="F101" s="485" t="s">
        <v>42</v>
      </c>
      <c r="G101" s="486"/>
      <c r="H101" s="509">
        <f>H74+H76+H78+H83+H85+H87+H89+H92+H98+H100-H94</f>
        <v>123.3292</v>
      </c>
      <c r="I101" s="479" t="s">
        <v>391</v>
      </c>
      <c r="K101" s="140" t="s">
        <v>325</v>
      </c>
      <c r="L101" s="91">
        <v>15</v>
      </c>
      <c r="Q101" s="114"/>
    </row>
    <row r="102" spans="2:17" ht="19.5" hidden="1" customHeight="1" x14ac:dyDescent="0.45">
      <c r="B102" s="480"/>
      <c r="C102" s="491"/>
      <c r="D102" s="492"/>
      <c r="E102" s="419"/>
      <c r="F102" s="487"/>
      <c r="G102" s="488"/>
      <c r="H102" s="510"/>
      <c r="I102" s="481"/>
      <c r="K102" s="94"/>
      <c r="L102" s="94"/>
      <c r="Q102" s="114"/>
    </row>
    <row r="103" spans="2:17" ht="19.5" hidden="1" customHeight="1" x14ac:dyDescent="0.45">
      <c r="B103" s="480"/>
      <c r="C103" s="415" t="s">
        <v>319</v>
      </c>
      <c r="D103" s="417"/>
      <c r="E103" s="16" t="s">
        <v>292</v>
      </c>
      <c r="F103" s="415" t="s">
        <v>320</v>
      </c>
      <c r="G103" s="417"/>
      <c r="H103" s="135">
        <f>H96*0.1</f>
        <v>28.286611336932971</v>
      </c>
      <c r="I103" s="144" t="s">
        <v>392</v>
      </c>
      <c r="Q103" s="114"/>
    </row>
    <row r="104" spans="2:17" ht="19.5" hidden="1" customHeight="1" x14ac:dyDescent="0.45">
      <c r="B104" s="480"/>
      <c r="C104" s="495" t="s">
        <v>323</v>
      </c>
      <c r="D104" s="496"/>
      <c r="E104" s="420" t="s">
        <v>292</v>
      </c>
      <c r="F104" s="485" t="s">
        <v>42</v>
      </c>
      <c r="G104" s="486"/>
      <c r="H104" s="509">
        <f>H96+H101+H103</f>
        <v>434.4819247062627</v>
      </c>
      <c r="I104" s="479" t="s">
        <v>393</v>
      </c>
    </row>
    <row r="105" spans="2:17" ht="19.5" hidden="1" customHeight="1" x14ac:dyDescent="0.45">
      <c r="B105" s="480"/>
      <c r="C105" s="497"/>
      <c r="D105" s="498"/>
      <c r="E105" s="419"/>
      <c r="F105" s="487"/>
      <c r="G105" s="488"/>
      <c r="H105" s="510"/>
      <c r="I105" s="481"/>
    </row>
    <row r="106" spans="2:17" ht="39" hidden="1" customHeight="1" x14ac:dyDescent="0.45">
      <c r="B106" s="518" t="s">
        <v>394</v>
      </c>
      <c r="C106" s="519"/>
      <c r="D106" s="520"/>
      <c r="E106" s="16" t="s">
        <v>395</v>
      </c>
      <c r="F106" s="415" t="s">
        <v>42</v>
      </c>
      <c r="G106" s="417"/>
      <c r="H106" s="126" t="e">
        <f>1-H104/H70</f>
        <v>#DIV/0!</v>
      </c>
      <c r="I106" s="1" t="s">
        <v>396</v>
      </c>
    </row>
    <row r="107" spans="2:17" ht="19.5" customHeight="1" x14ac:dyDescent="0.45">
      <c r="H107" s="127"/>
    </row>
    <row r="108" spans="2:17" ht="32.4" x14ac:dyDescent="0.45">
      <c r="B108" s="86" t="s">
        <v>397</v>
      </c>
      <c r="H108" s="127"/>
    </row>
    <row r="109" spans="2:17" ht="19.5" customHeight="1" x14ac:dyDescent="0.45">
      <c r="B109" s="407" t="s">
        <v>27</v>
      </c>
      <c r="C109" s="407"/>
      <c r="D109" s="407"/>
      <c r="E109" s="26" t="s">
        <v>28</v>
      </c>
      <c r="F109" s="441" t="s">
        <v>398</v>
      </c>
      <c r="G109" s="442"/>
      <c r="H109" s="292" t="s">
        <v>399</v>
      </c>
      <c r="I109" s="26" t="s">
        <v>400</v>
      </c>
    </row>
    <row r="110" spans="2:17" ht="19.5" customHeight="1" x14ac:dyDescent="0.45">
      <c r="B110" s="521" t="s">
        <v>131</v>
      </c>
      <c r="C110" s="522"/>
      <c r="D110" s="243" t="s">
        <v>401</v>
      </c>
      <c r="E110" s="245" t="s">
        <v>402</v>
      </c>
      <c r="F110" s="476" t="s">
        <v>403</v>
      </c>
      <c r="G110" s="477"/>
      <c r="H110" s="304">
        <f>D37</f>
        <v>0</v>
      </c>
      <c r="I110" s="296" t="s">
        <v>404</v>
      </c>
    </row>
    <row r="111" spans="2:17" ht="19.5" customHeight="1" x14ac:dyDescent="0.45">
      <c r="B111" s="523"/>
      <c r="C111" s="524"/>
      <c r="D111" s="244" t="s">
        <v>405</v>
      </c>
      <c r="E111" s="245" t="s">
        <v>402</v>
      </c>
      <c r="F111" s="476" t="s">
        <v>406</v>
      </c>
      <c r="G111" s="477"/>
      <c r="H111" s="304">
        <f>D38</f>
        <v>0</v>
      </c>
      <c r="I111" s="296" t="s">
        <v>407</v>
      </c>
    </row>
    <row r="112" spans="2:17" ht="18.75" customHeight="1" x14ac:dyDescent="0.45">
      <c r="B112" s="523"/>
      <c r="C112" s="525"/>
      <c r="D112" s="529" t="s">
        <v>408</v>
      </c>
      <c r="E112" s="293" t="s">
        <v>409</v>
      </c>
      <c r="F112" s="531" t="s">
        <v>410</v>
      </c>
      <c r="G112" s="449"/>
      <c r="H112" s="460">
        <f>D40</f>
        <v>0</v>
      </c>
      <c r="I112" s="537"/>
      <c r="K112" s="293" t="s">
        <v>411</v>
      </c>
      <c r="L112" s="539" t="str">
        <f>G39</f>
        <v/>
      </c>
    </row>
    <row r="113" spans="2:16" x14ac:dyDescent="0.45">
      <c r="B113" s="523"/>
      <c r="C113" s="525"/>
      <c r="D113" s="526"/>
      <c r="E113" s="247" t="str">
        <f>IF($D$39="","",VLOOKUP($D$39,$P$36:$U$39,6,FALSE))</f>
        <v/>
      </c>
      <c r="F113" s="532"/>
      <c r="G113" s="453"/>
      <c r="H113" s="462"/>
      <c r="I113" s="538"/>
      <c r="K113" s="247" t="str">
        <f>IF($D$39="","",VLOOKUP($D$39,$P$36:$V$39,7,FALSE))</f>
        <v/>
      </c>
      <c r="L113" s="540"/>
    </row>
    <row r="114" spans="2:16" x14ac:dyDescent="0.45">
      <c r="B114" s="526"/>
      <c r="C114" s="525"/>
      <c r="D114" s="530"/>
      <c r="E114" s="294" t="s">
        <v>402</v>
      </c>
      <c r="F114" s="476" t="s">
        <v>412</v>
      </c>
      <c r="G114" s="477"/>
      <c r="H114" s="304" t="e">
        <f>H112*L112*L114</f>
        <v>#VALUE!</v>
      </c>
      <c r="I114" s="250" t="s">
        <v>413</v>
      </c>
      <c r="K114" s="297" t="s">
        <v>414</v>
      </c>
      <c r="L114" s="335">
        <v>0.10544100000000001</v>
      </c>
    </row>
    <row r="115" spans="2:16" ht="19.5" customHeight="1" x14ac:dyDescent="0.45">
      <c r="B115" s="527"/>
      <c r="C115" s="528"/>
      <c r="D115" s="295" t="s">
        <v>415</v>
      </c>
      <c r="E115" s="245" t="s">
        <v>402</v>
      </c>
      <c r="F115" s="476" t="s">
        <v>42</v>
      </c>
      <c r="G115" s="477"/>
      <c r="H115" s="304" t="e">
        <f>H110+H111+H114</f>
        <v>#VALUE!</v>
      </c>
      <c r="I115" s="250" t="s">
        <v>416</v>
      </c>
    </row>
    <row r="116" spans="2:16" ht="19.5" customHeight="1" x14ac:dyDescent="0.45">
      <c r="B116" s="529" t="s">
        <v>326</v>
      </c>
      <c r="C116" s="522"/>
      <c r="D116" s="243" t="s">
        <v>401</v>
      </c>
      <c r="E116" s="245" t="s">
        <v>402</v>
      </c>
      <c r="F116" s="541" t="s">
        <v>417</v>
      </c>
      <c r="G116" s="542"/>
      <c r="H116" s="304">
        <f>H73</f>
        <v>0</v>
      </c>
      <c r="I116" s="250" t="s">
        <v>418</v>
      </c>
    </row>
    <row r="117" spans="2:16" ht="19.5" customHeight="1" x14ac:dyDescent="0.45">
      <c r="B117" s="526"/>
      <c r="C117" s="524"/>
      <c r="D117" s="243" t="s">
        <v>405</v>
      </c>
      <c r="E117" s="245" t="s">
        <v>402</v>
      </c>
      <c r="F117" s="541" t="s">
        <v>419</v>
      </c>
      <c r="G117" s="542"/>
      <c r="H117" s="304">
        <f>H82</f>
        <v>115</v>
      </c>
      <c r="I117" s="296" t="s">
        <v>420</v>
      </c>
    </row>
    <row r="118" spans="2:16" ht="19.5" customHeight="1" x14ac:dyDescent="0.45">
      <c r="B118" s="526"/>
      <c r="C118" s="524"/>
      <c r="D118" s="243" t="s">
        <v>421</v>
      </c>
      <c r="E118" s="245" t="s">
        <v>402</v>
      </c>
      <c r="F118" s="541" t="s">
        <v>422</v>
      </c>
      <c r="G118" s="542"/>
      <c r="H118" s="304">
        <f>H91</f>
        <v>57.44</v>
      </c>
      <c r="I118" s="250" t="s">
        <v>423</v>
      </c>
    </row>
    <row r="119" spans="2:16" x14ac:dyDescent="0.45">
      <c r="B119" s="526"/>
      <c r="C119" s="524"/>
      <c r="D119" s="550" t="s">
        <v>408</v>
      </c>
      <c r="E119" s="410" t="s">
        <v>355</v>
      </c>
      <c r="F119" s="546" t="s">
        <v>424</v>
      </c>
      <c r="G119" s="547"/>
      <c r="H119" s="460">
        <f>H84</f>
        <v>1.4390000000000001</v>
      </c>
      <c r="I119" s="533"/>
      <c r="K119" s="410" t="s">
        <v>425</v>
      </c>
      <c r="L119" s="535">
        <v>39.1</v>
      </c>
    </row>
    <row r="120" spans="2:16" x14ac:dyDescent="0.45">
      <c r="B120" s="526"/>
      <c r="C120" s="524"/>
      <c r="D120" s="551"/>
      <c r="E120" s="412"/>
      <c r="F120" s="548"/>
      <c r="G120" s="549"/>
      <c r="H120" s="462"/>
      <c r="I120" s="534"/>
      <c r="K120" s="412"/>
      <c r="L120" s="536"/>
    </row>
    <row r="121" spans="2:16" ht="19.5" customHeight="1" x14ac:dyDescent="0.45">
      <c r="B121" s="526"/>
      <c r="C121" s="524"/>
      <c r="D121" s="530"/>
      <c r="E121" s="245" t="s">
        <v>402</v>
      </c>
      <c r="F121" s="476" t="s">
        <v>412</v>
      </c>
      <c r="G121" s="477"/>
      <c r="H121" s="304">
        <f>H119*L119*L121</f>
        <v>5.9326273209000009</v>
      </c>
      <c r="I121" s="250" t="s">
        <v>426</v>
      </c>
      <c r="K121" s="85" t="s">
        <v>414</v>
      </c>
      <c r="L121" s="335">
        <v>0.10544100000000001</v>
      </c>
    </row>
    <row r="122" spans="2:16" ht="19.5" customHeight="1" x14ac:dyDescent="0.45">
      <c r="B122" s="526"/>
      <c r="C122" s="524"/>
      <c r="D122" s="153" t="s">
        <v>415</v>
      </c>
      <c r="E122" s="245" t="s">
        <v>402</v>
      </c>
      <c r="F122" s="476" t="s">
        <v>42</v>
      </c>
      <c r="G122" s="477"/>
      <c r="H122" s="304">
        <f>H116+H117+H118+H121</f>
        <v>178.37262732089999</v>
      </c>
      <c r="I122" s="250" t="s">
        <v>427</v>
      </c>
      <c r="P122" s="100"/>
    </row>
    <row r="123" spans="2:16" ht="19.5" customHeight="1" x14ac:dyDescent="0.45">
      <c r="B123" s="527"/>
      <c r="C123" s="528"/>
      <c r="D123" s="243" t="s">
        <v>428</v>
      </c>
      <c r="E123" s="245" t="s">
        <v>402</v>
      </c>
      <c r="F123" s="541" t="s">
        <v>429</v>
      </c>
      <c r="G123" s="542"/>
      <c r="H123" s="304">
        <f>H93</f>
        <v>-275.10000000000002</v>
      </c>
      <c r="I123" s="250" t="s">
        <v>430</v>
      </c>
    </row>
    <row r="124" spans="2:16" ht="39" customHeight="1" x14ac:dyDescent="0.45">
      <c r="B124" s="543" t="s">
        <v>397</v>
      </c>
      <c r="C124" s="544"/>
      <c r="D124" s="544"/>
      <c r="E124" s="153" t="s">
        <v>395</v>
      </c>
      <c r="F124" s="476" t="s">
        <v>42</v>
      </c>
      <c r="G124" s="477"/>
      <c r="H124" s="305" t="e">
        <f>1-(H122-H123)/H115</f>
        <v>#VALUE!</v>
      </c>
      <c r="I124" s="250" t="s">
        <v>431</v>
      </c>
    </row>
    <row r="125" spans="2:16" ht="19.5" customHeight="1" x14ac:dyDescent="0.45">
      <c r="H125" s="127"/>
    </row>
    <row r="126" spans="2:16" ht="33" customHeight="1" x14ac:dyDescent="0.45">
      <c r="B126" s="86" t="s">
        <v>432</v>
      </c>
      <c r="H126" s="127"/>
    </row>
    <row r="127" spans="2:16" ht="19.5" customHeight="1" x14ac:dyDescent="0.45">
      <c r="B127" s="407" t="s">
        <v>27</v>
      </c>
      <c r="C127" s="407"/>
      <c r="D127" s="545"/>
      <c r="E127" s="26" t="s">
        <v>28</v>
      </c>
      <c r="F127" s="441" t="s">
        <v>398</v>
      </c>
      <c r="G127" s="442"/>
      <c r="H127" s="292" t="s">
        <v>433</v>
      </c>
      <c r="I127" s="26" t="s">
        <v>280</v>
      </c>
    </row>
    <row r="128" spans="2:16" ht="19.5" customHeight="1" x14ac:dyDescent="0.45">
      <c r="B128" s="444" t="s">
        <v>131</v>
      </c>
      <c r="C128" s="445"/>
      <c r="D128" s="353" t="s">
        <v>434</v>
      </c>
      <c r="E128" s="277" t="s">
        <v>402</v>
      </c>
      <c r="F128" s="441" t="s">
        <v>435</v>
      </c>
      <c r="G128" s="442"/>
      <c r="H128" s="304">
        <f>H110+H111</f>
        <v>0</v>
      </c>
      <c r="I128" s="250" t="s">
        <v>436</v>
      </c>
      <c r="K128" s="413" t="s">
        <v>437</v>
      </c>
      <c r="L128" s="552">
        <v>0.25</v>
      </c>
    </row>
    <row r="129" spans="2:12" ht="19.2" x14ac:dyDescent="0.45">
      <c r="B129" s="446"/>
      <c r="C129" s="447"/>
      <c r="D129" s="265"/>
      <c r="E129" s="352" t="s">
        <v>1300</v>
      </c>
      <c r="F129" s="471" t="s">
        <v>1301</v>
      </c>
      <c r="G129" s="472"/>
      <c r="H129" s="356">
        <f>H128*L128</f>
        <v>0</v>
      </c>
      <c r="I129" s="19" t="s">
        <v>439</v>
      </c>
      <c r="K129" s="413"/>
      <c r="L129" s="552"/>
    </row>
    <row r="130" spans="2:12" ht="39.75" customHeight="1" x14ac:dyDescent="0.45">
      <c r="B130" s="446"/>
      <c r="C130" s="447"/>
      <c r="D130" s="354" t="s">
        <v>440</v>
      </c>
      <c r="E130" s="355" t="s">
        <v>1300</v>
      </c>
      <c r="F130" s="553" t="s">
        <v>1302</v>
      </c>
      <c r="G130" s="472"/>
      <c r="H130" s="356" t="e">
        <f>H112*L130</f>
        <v>#VALUE!</v>
      </c>
      <c r="I130" s="301" t="s">
        <v>442</v>
      </c>
      <c r="K130" s="85" t="s">
        <v>443</v>
      </c>
      <c r="L130" s="308" t="str">
        <f>G40</f>
        <v/>
      </c>
    </row>
    <row r="131" spans="2:12" ht="38.4" x14ac:dyDescent="0.45">
      <c r="B131" s="446"/>
      <c r="C131" s="447"/>
      <c r="D131" s="466" t="s">
        <v>444</v>
      </c>
      <c r="E131" s="299" t="s">
        <v>445</v>
      </c>
      <c r="F131" s="403" t="s">
        <v>446</v>
      </c>
      <c r="G131" s="442"/>
      <c r="H131" s="304">
        <f>D35*L131*10^-3</f>
        <v>0</v>
      </c>
      <c r="I131" s="19"/>
      <c r="K131" s="298" t="s">
        <v>447</v>
      </c>
      <c r="L131" s="338">
        <v>0.64500000000000002</v>
      </c>
    </row>
    <row r="132" spans="2:12" ht="37.200000000000003" x14ac:dyDescent="0.45">
      <c r="B132" s="446"/>
      <c r="C132" s="447"/>
      <c r="D132" s="468"/>
      <c r="E132" s="300" t="s">
        <v>441</v>
      </c>
      <c r="F132" s="441" t="s">
        <v>448</v>
      </c>
      <c r="G132" s="442"/>
      <c r="H132" s="304">
        <f>H131*L132</f>
        <v>0</v>
      </c>
      <c r="I132" s="301" t="s">
        <v>449</v>
      </c>
      <c r="K132" s="85" t="s">
        <v>450</v>
      </c>
      <c r="L132" s="338">
        <v>298</v>
      </c>
    </row>
    <row r="133" spans="2:12" ht="36" x14ac:dyDescent="0.45">
      <c r="B133" s="446"/>
      <c r="C133" s="447"/>
      <c r="D133" s="250" t="s">
        <v>451</v>
      </c>
      <c r="E133" s="285" t="s">
        <v>441</v>
      </c>
      <c r="F133" s="454" t="s">
        <v>452</v>
      </c>
      <c r="G133" s="455"/>
      <c r="H133" s="306">
        <f>D35*(1-D32/100)*0.005*L133+D35*0.661/100*L134</f>
        <v>0</v>
      </c>
      <c r="I133" s="302" t="s">
        <v>453</v>
      </c>
      <c r="K133" s="85" t="s">
        <v>454</v>
      </c>
      <c r="L133" s="338">
        <v>6.5</v>
      </c>
    </row>
    <row r="134" spans="2:12" ht="18.75" customHeight="1" x14ac:dyDescent="0.45">
      <c r="B134" s="446"/>
      <c r="C134" s="447"/>
      <c r="D134" s="247" t="s">
        <v>415</v>
      </c>
      <c r="E134" s="249" t="s">
        <v>441</v>
      </c>
      <c r="F134" s="476" t="s">
        <v>42</v>
      </c>
      <c r="G134" s="477"/>
      <c r="H134" s="304" t="e">
        <f>H129+H130+H132+H133</f>
        <v>#VALUE!</v>
      </c>
      <c r="I134" s="19" t="s">
        <v>456</v>
      </c>
      <c r="K134" s="413" t="s">
        <v>455</v>
      </c>
      <c r="L134" s="554">
        <v>0.93799999999999994</v>
      </c>
    </row>
    <row r="135" spans="2:12" ht="19.5" customHeight="1" x14ac:dyDescent="0.45">
      <c r="B135" s="448" t="s">
        <v>326</v>
      </c>
      <c r="C135" s="449"/>
      <c r="D135" s="469" t="s">
        <v>434</v>
      </c>
      <c r="E135" s="277" t="s">
        <v>402</v>
      </c>
      <c r="F135" s="441" t="s">
        <v>457</v>
      </c>
      <c r="G135" s="442"/>
      <c r="H135" s="304">
        <f>H116+H117+H118</f>
        <v>172.44</v>
      </c>
      <c r="I135" s="19" t="s">
        <v>458</v>
      </c>
      <c r="K135" s="413"/>
      <c r="L135" s="554"/>
    </row>
    <row r="136" spans="2:12" ht="19.5" customHeight="1" x14ac:dyDescent="0.45">
      <c r="B136" s="450"/>
      <c r="C136" s="451"/>
      <c r="D136" s="470"/>
      <c r="E136" s="352" t="s">
        <v>1300</v>
      </c>
      <c r="F136" s="471" t="s">
        <v>1301</v>
      </c>
      <c r="G136" s="472"/>
      <c r="H136" s="356">
        <f>H135*L128</f>
        <v>43.11</v>
      </c>
      <c r="I136" s="19" t="s">
        <v>459</v>
      </c>
    </row>
    <row r="137" spans="2:12" ht="19.5" customHeight="1" x14ac:dyDescent="0.45">
      <c r="B137" s="450"/>
      <c r="C137" s="451"/>
      <c r="D137" s="357" t="s">
        <v>440</v>
      </c>
      <c r="E137" s="355" t="s">
        <v>1300</v>
      </c>
      <c r="F137" s="553" t="s">
        <v>1303</v>
      </c>
      <c r="G137" s="472"/>
      <c r="H137" s="356">
        <f>H119*L137</f>
        <v>3.8996900000000001</v>
      </c>
      <c r="I137" s="19" t="s">
        <v>461</v>
      </c>
      <c r="K137" s="413" t="s">
        <v>460</v>
      </c>
      <c r="L137" s="554">
        <v>2.71</v>
      </c>
    </row>
    <row r="138" spans="2:12" ht="40.5" customHeight="1" x14ac:dyDescent="0.45">
      <c r="B138" s="450"/>
      <c r="C138" s="451"/>
      <c r="D138" s="466" t="s">
        <v>444</v>
      </c>
      <c r="E138" s="299" t="s">
        <v>445</v>
      </c>
      <c r="F138" s="403" t="s">
        <v>446</v>
      </c>
      <c r="G138" s="404"/>
      <c r="H138" s="304">
        <f>D35*L139*10^-3</f>
        <v>0</v>
      </c>
      <c r="I138" s="19"/>
      <c r="K138" s="413"/>
      <c r="L138" s="554"/>
    </row>
    <row r="139" spans="2:12" ht="19.5" customHeight="1" x14ac:dyDescent="0.45">
      <c r="B139" s="450"/>
      <c r="C139" s="451"/>
      <c r="D139" s="468"/>
      <c r="E139" s="300" t="s">
        <v>441</v>
      </c>
      <c r="F139" s="441" t="s">
        <v>448</v>
      </c>
      <c r="G139" s="442"/>
      <c r="H139" s="304">
        <f>H138*L132</f>
        <v>0</v>
      </c>
      <c r="I139" s="19" t="s">
        <v>463</v>
      </c>
      <c r="K139" s="298" t="s">
        <v>462</v>
      </c>
      <c r="L139" s="338">
        <v>0.21299999999999999</v>
      </c>
    </row>
    <row r="140" spans="2:12" ht="19.5" customHeight="1" x14ac:dyDescent="0.45">
      <c r="B140" s="450"/>
      <c r="C140" s="451"/>
      <c r="D140" s="466" t="s">
        <v>451</v>
      </c>
      <c r="E140" s="285" t="s">
        <v>441</v>
      </c>
      <c r="F140" s="454" t="s">
        <v>464</v>
      </c>
      <c r="G140" s="455"/>
      <c r="H140" s="460">
        <f>H75*L133+H77*L141+H86*L143</f>
        <v>0</v>
      </c>
      <c r="I140" s="463" t="s">
        <v>465</v>
      </c>
      <c r="K140" s="145"/>
      <c r="L140" s="128"/>
    </row>
    <row r="141" spans="2:12" ht="19.5" customHeight="1" x14ac:dyDescent="0.45">
      <c r="B141" s="450"/>
      <c r="C141" s="451"/>
      <c r="D141" s="467"/>
      <c r="E141" s="378"/>
      <c r="F141" s="456"/>
      <c r="G141" s="457"/>
      <c r="H141" s="461"/>
      <c r="I141" s="464"/>
      <c r="K141" s="410" t="s">
        <v>466</v>
      </c>
      <c r="L141" s="557">
        <v>3.0800000000000001E-2</v>
      </c>
    </row>
    <row r="142" spans="2:12" ht="19.5" customHeight="1" x14ac:dyDescent="0.45">
      <c r="B142" s="450"/>
      <c r="C142" s="451"/>
      <c r="D142" s="468"/>
      <c r="E142" s="286"/>
      <c r="F142" s="458"/>
      <c r="G142" s="459"/>
      <c r="H142" s="462"/>
      <c r="I142" s="465"/>
      <c r="K142" s="412"/>
      <c r="L142" s="558"/>
    </row>
    <row r="143" spans="2:12" ht="19.5" customHeight="1" x14ac:dyDescent="0.45">
      <c r="B143" s="450"/>
      <c r="C143" s="451"/>
      <c r="D143" s="247" t="s">
        <v>415</v>
      </c>
      <c r="E143" s="300" t="s">
        <v>441</v>
      </c>
      <c r="F143" s="476" t="s">
        <v>42</v>
      </c>
      <c r="G143" s="477"/>
      <c r="H143" s="304">
        <f>H136+H137+H139+H140</f>
        <v>47.009689999999999</v>
      </c>
      <c r="I143" s="303" t="s">
        <v>468</v>
      </c>
      <c r="K143" s="413" t="s">
        <v>467</v>
      </c>
      <c r="L143" s="554">
        <f>0.938*0.48</f>
        <v>0.45023999999999997</v>
      </c>
    </row>
    <row r="144" spans="2:12" ht="19.5" customHeight="1" x14ac:dyDescent="0.45">
      <c r="B144" s="452"/>
      <c r="C144" s="453"/>
      <c r="D144" s="19" t="s">
        <v>469</v>
      </c>
      <c r="E144" s="85" t="s">
        <v>438</v>
      </c>
      <c r="F144" s="441" t="s">
        <v>470</v>
      </c>
      <c r="G144" s="442"/>
      <c r="H144" s="307">
        <f>H123*L128</f>
        <v>-68.775000000000006</v>
      </c>
      <c r="I144" s="303" t="s">
        <v>471</v>
      </c>
      <c r="K144" s="413"/>
      <c r="L144" s="554"/>
    </row>
    <row r="145" spans="2:18" ht="39" customHeight="1" x14ac:dyDescent="0.45">
      <c r="B145" s="555" t="s">
        <v>432</v>
      </c>
      <c r="C145" s="556"/>
      <c r="D145" s="556"/>
      <c r="E145" s="26" t="s">
        <v>395</v>
      </c>
      <c r="F145" s="441" t="s">
        <v>42</v>
      </c>
      <c r="G145" s="442"/>
      <c r="H145" s="305" t="e">
        <f>1-(H143-H144)/H134</f>
        <v>#VALUE!</v>
      </c>
      <c r="I145" s="250" t="s">
        <v>472</v>
      </c>
      <c r="Q145" s="125"/>
      <c r="R145" s="100"/>
    </row>
    <row r="146" spans="2:18" ht="19.5" customHeight="1" x14ac:dyDescent="0.45">
      <c r="B146" s="384"/>
      <c r="C146" s="384"/>
    </row>
    <row r="148" spans="2:18" x14ac:dyDescent="0.45">
      <c r="B148" s="431" t="s">
        <v>1298</v>
      </c>
      <c r="C148" s="431"/>
      <c r="D148" s="313" t="e">
        <f>H134-H143-H144</f>
        <v>#VALUE!</v>
      </c>
      <c r="E148" s="312" t="s">
        <v>21</v>
      </c>
    </row>
    <row r="149" spans="2:18" x14ac:dyDescent="0.45">
      <c r="B149" s="431" t="s">
        <v>1299</v>
      </c>
      <c r="C149" s="431"/>
      <c r="D149" s="313" t="e">
        <f>H129+H130-H136-H137</f>
        <v>#VALUE!</v>
      </c>
      <c r="E149" s="312" t="s">
        <v>21</v>
      </c>
    </row>
  </sheetData>
  <mergeCells count="167">
    <mergeCell ref="K137:K138"/>
    <mergeCell ref="L137:L138"/>
    <mergeCell ref="F137:G137"/>
    <mergeCell ref="B145:D145"/>
    <mergeCell ref="F145:G145"/>
    <mergeCell ref="B148:C148"/>
    <mergeCell ref="L141:L142"/>
    <mergeCell ref="K143:K144"/>
    <mergeCell ref="L143:L144"/>
    <mergeCell ref="F143:G143"/>
    <mergeCell ref="F144:G144"/>
    <mergeCell ref="F139:G139"/>
    <mergeCell ref="K141:K142"/>
    <mergeCell ref="K128:K129"/>
    <mergeCell ref="L128:L129"/>
    <mergeCell ref="F129:G129"/>
    <mergeCell ref="F130:G130"/>
    <mergeCell ref="F131:G131"/>
    <mergeCell ref="F132:G132"/>
    <mergeCell ref="F133:G133"/>
    <mergeCell ref="K134:K135"/>
    <mergeCell ref="L134:L135"/>
    <mergeCell ref="F134:G134"/>
    <mergeCell ref="F135:G135"/>
    <mergeCell ref="F121:G121"/>
    <mergeCell ref="F122:G122"/>
    <mergeCell ref="F123:G123"/>
    <mergeCell ref="B124:D124"/>
    <mergeCell ref="F124:G124"/>
    <mergeCell ref="B127:D127"/>
    <mergeCell ref="F127:G127"/>
    <mergeCell ref="E119:E120"/>
    <mergeCell ref="F119:G120"/>
    <mergeCell ref="B116:C123"/>
    <mergeCell ref="D119:D121"/>
    <mergeCell ref="H119:H120"/>
    <mergeCell ref="I119:I120"/>
    <mergeCell ref="K119:K120"/>
    <mergeCell ref="L119:L120"/>
    <mergeCell ref="H112:H113"/>
    <mergeCell ref="I112:I113"/>
    <mergeCell ref="L112:L113"/>
    <mergeCell ref="F114:G114"/>
    <mergeCell ref="F115:G115"/>
    <mergeCell ref="F116:G116"/>
    <mergeCell ref="F117:G117"/>
    <mergeCell ref="F118:G118"/>
    <mergeCell ref="B106:D106"/>
    <mergeCell ref="F106:G106"/>
    <mergeCell ref="B109:D109"/>
    <mergeCell ref="F109:G109"/>
    <mergeCell ref="B110:C115"/>
    <mergeCell ref="F110:G110"/>
    <mergeCell ref="F111:G111"/>
    <mergeCell ref="D112:D114"/>
    <mergeCell ref="F112:G113"/>
    <mergeCell ref="K97:L97"/>
    <mergeCell ref="D98:D99"/>
    <mergeCell ref="E98:E99"/>
    <mergeCell ref="F98:G99"/>
    <mergeCell ref="H98:H99"/>
    <mergeCell ref="I98:I99"/>
    <mergeCell ref="C103:D103"/>
    <mergeCell ref="F103:G103"/>
    <mergeCell ref="C104:D105"/>
    <mergeCell ref="E104:E105"/>
    <mergeCell ref="F104:G105"/>
    <mergeCell ref="H104:H105"/>
    <mergeCell ref="F100:G100"/>
    <mergeCell ref="C101:D102"/>
    <mergeCell ref="E101:E102"/>
    <mergeCell ref="F101:G102"/>
    <mergeCell ref="H101:H102"/>
    <mergeCell ref="I104:I105"/>
    <mergeCell ref="F86:G86"/>
    <mergeCell ref="F87:G87"/>
    <mergeCell ref="F88:G88"/>
    <mergeCell ref="F89:G89"/>
    <mergeCell ref="F90:G90"/>
    <mergeCell ref="F91:G91"/>
    <mergeCell ref="I101:I102"/>
    <mergeCell ref="H96:H97"/>
    <mergeCell ref="I96:I97"/>
    <mergeCell ref="F80:G80"/>
    <mergeCell ref="F81:G81"/>
    <mergeCell ref="F82:G82"/>
    <mergeCell ref="F83:G83"/>
    <mergeCell ref="F84:G84"/>
    <mergeCell ref="F85:G85"/>
    <mergeCell ref="I70:I71"/>
    <mergeCell ref="B72:B105"/>
    <mergeCell ref="F72:G72"/>
    <mergeCell ref="F73:G73"/>
    <mergeCell ref="F74:G74"/>
    <mergeCell ref="F75:G75"/>
    <mergeCell ref="F76:G76"/>
    <mergeCell ref="F77:G77"/>
    <mergeCell ref="F78:G78"/>
    <mergeCell ref="F79:G79"/>
    <mergeCell ref="F92:G92"/>
    <mergeCell ref="F93:G93"/>
    <mergeCell ref="F94:G94"/>
    <mergeCell ref="C95:D95"/>
    <mergeCell ref="F95:G95"/>
    <mergeCell ref="C96:D97"/>
    <mergeCell ref="E96:E97"/>
    <mergeCell ref="F96:G97"/>
    <mergeCell ref="C69:D69"/>
    <mergeCell ref="F69:G69"/>
    <mergeCell ref="C70:D71"/>
    <mergeCell ref="E70:E71"/>
    <mergeCell ref="F70:G71"/>
    <mergeCell ref="H70:H71"/>
    <mergeCell ref="I65:I66"/>
    <mergeCell ref="K66:L66"/>
    <mergeCell ref="C67:D68"/>
    <mergeCell ref="E67:E68"/>
    <mergeCell ref="F67:G68"/>
    <mergeCell ref="H67:H68"/>
    <mergeCell ref="I67:I68"/>
    <mergeCell ref="F64:G64"/>
    <mergeCell ref="C65:D66"/>
    <mergeCell ref="E65:E66"/>
    <mergeCell ref="F65:G66"/>
    <mergeCell ref="H65:H66"/>
    <mergeCell ref="F58:G58"/>
    <mergeCell ref="F59:G59"/>
    <mergeCell ref="F60:G60"/>
    <mergeCell ref="F61:G61"/>
    <mergeCell ref="F62:G62"/>
    <mergeCell ref="F63:G63"/>
    <mergeCell ref="B149:C149"/>
    <mergeCell ref="B34:C34"/>
    <mergeCell ref="B35:C35"/>
    <mergeCell ref="Q35:R35"/>
    <mergeCell ref="S35:T35"/>
    <mergeCell ref="B36:C36"/>
    <mergeCell ref="B37:C37"/>
    <mergeCell ref="B29:D29"/>
    <mergeCell ref="F29:G29"/>
    <mergeCell ref="B30:C30"/>
    <mergeCell ref="B31:C31"/>
    <mergeCell ref="B32:C32"/>
    <mergeCell ref="B33:C33"/>
    <mergeCell ref="B38:C38"/>
    <mergeCell ref="B39:C39"/>
    <mergeCell ref="B40:C40"/>
    <mergeCell ref="F54:G54"/>
    <mergeCell ref="R54:R55"/>
    <mergeCell ref="B55:B71"/>
    <mergeCell ref="F55:G55"/>
    <mergeCell ref="O55:O63"/>
    <mergeCell ref="F56:G56"/>
    <mergeCell ref="F57:G57"/>
    <mergeCell ref="C64:D64"/>
    <mergeCell ref="B128:C134"/>
    <mergeCell ref="B135:C144"/>
    <mergeCell ref="F138:G138"/>
    <mergeCell ref="F140:G142"/>
    <mergeCell ref="H140:H142"/>
    <mergeCell ref="I140:I142"/>
    <mergeCell ref="D140:D142"/>
    <mergeCell ref="D138:D139"/>
    <mergeCell ref="D135:D136"/>
    <mergeCell ref="D131:D132"/>
    <mergeCell ref="F128:G128"/>
    <mergeCell ref="F136:G136"/>
  </mergeCells>
  <phoneticPr fontId="2"/>
  <dataValidations count="1">
    <dataValidation type="list" allowBlank="1" showInputMessage="1" showErrorMessage="1" sqref="D39" xr:uid="{EA78C5C0-43FD-4EF6-A83B-39D5BCB3DA34}">
      <formula1>"都市ガス,消化ガス,,灯油,A重油"</formula1>
    </dataValidation>
  </dataValidations>
  <hyperlinks>
    <hyperlink ref="K2" location="汚泥処理対策シート!A1" display="クリックで対策シートに戻る" xr:uid="{63835FBA-2DED-4D5F-AFCA-0D30F50CE8F6}"/>
  </hyperlinks>
  <pageMargins left="0.70866141732283472" right="0.70866141732283472" top="0.74803149606299213" bottom="0.74803149606299213" header="0.31496062992125984" footer="0.31496062992125984"/>
  <pageSetup paperSize="8" scale="4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6250B-9B71-4778-AD4C-4CA11619DB62}">
  <sheetPr>
    <tabColor theme="5" tint="-0.499984740745262"/>
  </sheetPr>
  <dimension ref="B2:U173"/>
  <sheetViews>
    <sheetView zoomScale="80" zoomScaleNormal="80" zoomScaleSheetLayoutView="85" workbookViewId="0"/>
  </sheetViews>
  <sheetFormatPr defaultColWidth="9" defaultRowHeight="18" x14ac:dyDescent="0.45"/>
  <cols>
    <col min="1" max="1" width="1.59765625" style="146" customWidth="1"/>
    <col min="2" max="2" width="11" style="146" customWidth="1"/>
    <col min="3" max="3" width="26" style="146" customWidth="1"/>
    <col min="4" max="4" width="34.59765625" style="146" customWidth="1"/>
    <col min="5" max="5" width="12.3984375" style="146" customWidth="1"/>
    <col min="6" max="6" width="27.59765625" style="146" customWidth="1"/>
    <col min="7" max="7" width="24.59765625" style="146" customWidth="1"/>
    <col min="8" max="8" width="22.5" style="146" bestFit="1" customWidth="1"/>
    <col min="9" max="9" width="37.69921875" style="146" bestFit="1" customWidth="1"/>
    <col min="10" max="10" width="3.59765625" style="146" customWidth="1"/>
    <col min="11" max="11" width="13" style="146" bestFit="1" customWidth="1"/>
    <col min="12" max="12" width="12.19921875" style="146" bestFit="1" customWidth="1"/>
    <col min="13" max="15" width="1.59765625" style="146" customWidth="1"/>
    <col min="16" max="17" width="19.19921875" style="146" hidden="1" customWidth="1"/>
    <col min="18" max="18" width="8.59765625" style="146" hidden="1" customWidth="1"/>
    <col min="19" max="19" width="21.3984375" style="146" hidden="1" customWidth="1"/>
    <col min="20" max="20" width="11.59765625" style="146" hidden="1" customWidth="1"/>
    <col min="21" max="16384" width="9" style="146"/>
  </cols>
  <sheetData>
    <row r="2" spans="2:9" customFormat="1" ht="22.2" x14ac:dyDescent="0.45">
      <c r="B2" s="28" t="s">
        <v>1327</v>
      </c>
      <c r="I2" s="242" t="s">
        <v>1145</v>
      </c>
    </row>
    <row r="3" spans="2:9" customFormat="1" x14ac:dyDescent="0.45">
      <c r="B3" s="32" t="s">
        <v>94</v>
      </c>
      <c r="C3" s="33"/>
      <c r="D3" s="33"/>
      <c r="E3" s="33"/>
      <c r="G3" s="18"/>
      <c r="H3" t="s">
        <v>79</v>
      </c>
    </row>
    <row r="4" spans="2:9" customFormat="1" x14ac:dyDescent="0.45">
      <c r="B4" s="310" t="s">
        <v>97</v>
      </c>
      <c r="C4" s="311"/>
      <c r="D4" s="311"/>
      <c r="E4" s="311"/>
      <c r="G4" s="7"/>
      <c r="H4" t="s">
        <v>80</v>
      </c>
    </row>
    <row r="5" spans="2:9" customFormat="1" x14ac:dyDescent="0.45">
      <c r="G5" s="332"/>
      <c r="H5" t="s">
        <v>1243</v>
      </c>
    </row>
    <row r="6" spans="2:9" customFormat="1" x14ac:dyDescent="0.45">
      <c r="G6" s="11"/>
      <c r="H6" t="s">
        <v>81</v>
      </c>
    </row>
    <row r="7" spans="2:9" customFormat="1" x14ac:dyDescent="0.45">
      <c r="B7" s="31" t="s">
        <v>755</v>
      </c>
      <c r="C7" s="4"/>
      <c r="G7" s="154"/>
      <c r="H7" t="s">
        <v>506</v>
      </c>
    </row>
    <row r="8" spans="2:9" x14ac:dyDescent="0.45">
      <c r="B8" s="31" t="s">
        <v>756</v>
      </c>
      <c r="H8" s="31" t="s">
        <v>757</v>
      </c>
      <c r="I8" s="31"/>
    </row>
    <row r="9" spans="2:9" x14ac:dyDescent="0.45">
      <c r="B9" s="31" t="s">
        <v>1271</v>
      </c>
      <c r="H9" s="31"/>
      <c r="I9" s="31"/>
    </row>
    <row r="10" spans="2:9" x14ac:dyDescent="0.45">
      <c r="B10" s="31"/>
      <c r="I10" s="31"/>
    </row>
    <row r="11" spans="2:9" x14ac:dyDescent="0.45">
      <c r="B11" s="31" t="s">
        <v>509</v>
      </c>
      <c r="I11" s="31"/>
    </row>
    <row r="12" spans="2:9" x14ac:dyDescent="0.45">
      <c r="B12" s="31"/>
      <c r="I12" s="31"/>
    </row>
    <row r="13" spans="2:9" x14ac:dyDescent="0.45">
      <c r="B13" s="31"/>
      <c r="I13" s="31"/>
    </row>
    <row r="14" spans="2:9" x14ac:dyDescent="0.45">
      <c r="B14" s="31"/>
      <c r="I14" s="31"/>
    </row>
    <row r="15" spans="2:9" x14ac:dyDescent="0.45">
      <c r="B15" s="31"/>
      <c r="I15" s="31"/>
    </row>
    <row r="16" spans="2:9" x14ac:dyDescent="0.45">
      <c r="B16" s="31"/>
      <c r="I16" s="31"/>
    </row>
    <row r="17" spans="2:9" x14ac:dyDescent="0.45">
      <c r="B17" s="31"/>
      <c r="I17" s="31"/>
    </row>
    <row r="18" spans="2:9" x14ac:dyDescent="0.45">
      <c r="B18" s="31"/>
      <c r="I18" s="31"/>
    </row>
    <row r="19" spans="2:9" x14ac:dyDescent="0.45">
      <c r="B19" s="31"/>
      <c r="I19" s="31"/>
    </row>
    <row r="20" spans="2:9" x14ac:dyDescent="0.45">
      <c r="B20" s="31"/>
      <c r="I20" s="31"/>
    </row>
    <row r="21" spans="2:9" x14ac:dyDescent="0.45">
      <c r="B21" s="31"/>
      <c r="I21" s="31"/>
    </row>
    <row r="22" spans="2:9" x14ac:dyDescent="0.45">
      <c r="B22" s="31"/>
      <c r="I22" s="31"/>
    </row>
    <row r="23" spans="2:9" x14ac:dyDescent="0.45">
      <c r="B23" s="31"/>
      <c r="I23" s="31"/>
    </row>
    <row r="24" spans="2:9" x14ac:dyDescent="0.45">
      <c r="B24" s="31"/>
      <c r="I24" s="31"/>
    </row>
    <row r="25" spans="2:9" x14ac:dyDescent="0.45">
      <c r="B25" s="31"/>
      <c r="I25" s="31"/>
    </row>
    <row r="26" spans="2:9" x14ac:dyDescent="0.45">
      <c r="B26" s="31"/>
      <c r="I26" s="31"/>
    </row>
    <row r="27" spans="2:9" x14ac:dyDescent="0.45">
      <c r="B27" s="31"/>
      <c r="I27" s="31"/>
    </row>
    <row r="29" spans="2:9" ht="32.4" x14ac:dyDescent="0.45">
      <c r="B29" s="86" t="s">
        <v>230</v>
      </c>
      <c r="D29" s="87"/>
    </row>
    <row r="30" spans="2:9" ht="18.75" customHeight="1" x14ac:dyDescent="0.45">
      <c r="B30" s="146" t="s">
        <v>513</v>
      </c>
      <c r="H30" s="94"/>
    </row>
    <row r="31" spans="2:9" ht="18.75" customHeight="1" x14ac:dyDescent="0.45">
      <c r="B31" s="559" t="s">
        <v>514</v>
      </c>
      <c r="C31" s="559"/>
      <c r="D31" s="18"/>
      <c r="F31" s="195" t="s">
        <v>515</v>
      </c>
      <c r="G31" s="18"/>
      <c r="H31" s="93"/>
    </row>
    <row r="32" spans="2:9" ht="18.75" customHeight="1" x14ac:dyDescent="0.45">
      <c r="B32" s="559" t="s">
        <v>516</v>
      </c>
      <c r="C32" s="559"/>
      <c r="D32" s="189"/>
      <c r="F32" s="195" t="s">
        <v>517</v>
      </c>
      <c r="G32" s="191">
        <f>G31/365</f>
        <v>0</v>
      </c>
      <c r="H32" s="93"/>
      <c r="I32" s="94"/>
    </row>
    <row r="33" spans="2:21" ht="18.75" customHeight="1" x14ac:dyDescent="0.45">
      <c r="B33" s="560" t="s">
        <v>518</v>
      </c>
      <c r="C33" s="560"/>
      <c r="D33" s="192">
        <f>D31*(1-D32)</f>
        <v>0</v>
      </c>
      <c r="F33" s="196" t="s">
        <v>519</v>
      </c>
      <c r="G33" s="190"/>
      <c r="H33" s="93"/>
      <c r="I33" s="94"/>
    </row>
    <row r="34" spans="2:21" ht="18.75" customHeight="1" x14ac:dyDescent="0.45">
      <c r="B34" s="561" t="s">
        <v>520</v>
      </c>
      <c r="C34" s="561"/>
      <c r="D34" s="390" t="s">
        <v>521</v>
      </c>
      <c r="F34" s="385"/>
      <c r="G34" s="386"/>
      <c r="H34" s="94"/>
      <c r="I34" s="94"/>
    </row>
    <row r="35" spans="2:21" ht="18.75" customHeight="1" x14ac:dyDescent="0.45">
      <c r="B35" s="560" t="s">
        <v>524</v>
      </c>
      <c r="C35" s="560"/>
      <c r="D35" s="193">
        <v>2.1000000000000001E-2</v>
      </c>
      <c r="F35" s="97"/>
      <c r="G35" s="387"/>
      <c r="H35" s="94"/>
      <c r="I35" s="94"/>
      <c r="P35" s="16"/>
      <c r="Q35" s="415" t="s">
        <v>522</v>
      </c>
      <c r="R35" s="417"/>
      <c r="S35" s="415" t="s">
        <v>523</v>
      </c>
      <c r="T35" s="417"/>
    </row>
    <row r="36" spans="2:21" ht="18.75" customHeight="1" x14ac:dyDescent="0.45">
      <c r="B36" s="559" t="s">
        <v>525</v>
      </c>
      <c r="C36" s="559"/>
      <c r="D36" s="192">
        <f>D33*(1+D35)</f>
        <v>0</v>
      </c>
      <c r="F36" s="388"/>
      <c r="G36" s="387"/>
      <c r="H36" s="96"/>
      <c r="I36" s="96"/>
      <c r="P36" s="16" t="s">
        <v>244</v>
      </c>
      <c r="Q36" s="16">
        <v>44.8</v>
      </c>
      <c r="R36" s="16" t="s">
        <v>245</v>
      </c>
      <c r="S36" s="92">
        <v>2.23</v>
      </c>
      <c r="T36" s="92" t="s">
        <v>246</v>
      </c>
      <c r="U36" s="157"/>
    </row>
    <row r="37" spans="2:21" ht="18.75" customHeight="1" x14ac:dyDescent="0.45">
      <c r="B37" s="559" t="s">
        <v>526</v>
      </c>
      <c r="C37" s="559"/>
      <c r="D37" s="194">
        <v>0.69</v>
      </c>
      <c r="F37" s="97"/>
      <c r="G37" s="387"/>
      <c r="H37" s="94"/>
      <c r="I37" s="94"/>
      <c r="P37" s="16" t="s">
        <v>250</v>
      </c>
      <c r="Q37" s="16">
        <v>0</v>
      </c>
      <c r="R37" s="16" t="s">
        <v>245</v>
      </c>
      <c r="S37" s="140">
        <v>0</v>
      </c>
      <c r="T37" s="140" t="s">
        <v>251</v>
      </c>
    </row>
    <row r="38" spans="2:21" ht="18.75" customHeight="1" x14ac:dyDescent="0.45">
      <c r="B38" s="570" t="s">
        <v>527</v>
      </c>
      <c r="C38" s="571"/>
      <c r="D38" s="192">
        <f>D36/(1-D37)</f>
        <v>0</v>
      </c>
      <c r="F38" s="388"/>
      <c r="G38" s="387"/>
      <c r="H38" s="94"/>
      <c r="I38" s="94"/>
      <c r="P38" s="16"/>
      <c r="Q38" s="16"/>
      <c r="R38" s="16"/>
      <c r="S38" s="140"/>
      <c r="T38" s="140"/>
    </row>
    <row r="39" spans="2:21" ht="18.75" customHeight="1" x14ac:dyDescent="0.45">
      <c r="B39" s="158" t="s">
        <v>528</v>
      </c>
      <c r="C39" s="158"/>
      <c r="D39" s="159"/>
      <c r="F39" s="97"/>
      <c r="G39" s="389"/>
    </row>
    <row r="40" spans="2:21" ht="18.75" customHeight="1" x14ac:dyDescent="0.45">
      <c r="B40" s="572"/>
      <c r="C40" s="572"/>
      <c r="D40" s="107"/>
    </row>
    <row r="41" spans="2:21" ht="18.75" customHeight="1" x14ac:dyDescent="0.45">
      <c r="B41" s="100"/>
      <c r="C41" s="100"/>
      <c r="D41" s="187"/>
    </row>
    <row r="42" spans="2:21" ht="18.75" customHeight="1" x14ac:dyDescent="0.45">
      <c r="B42" s="100"/>
      <c r="C42" s="100"/>
      <c r="D42" s="160"/>
    </row>
    <row r="43" spans="2:21" ht="16.5" hidden="1" customHeight="1" x14ac:dyDescent="0.45">
      <c r="B43" s="562" t="s">
        <v>529</v>
      </c>
      <c r="C43" s="563"/>
      <c r="D43" s="161" t="s">
        <v>530</v>
      </c>
      <c r="O43" s="86"/>
    </row>
    <row r="44" spans="2:21" ht="16.5" hidden="1" customHeight="1" x14ac:dyDescent="0.45">
      <c r="B44" s="564"/>
      <c r="C44" s="564"/>
      <c r="D44" s="161" t="s">
        <v>531</v>
      </c>
      <c r="O44" s="86"/>
    </row>
    <row r="45" spans="2:21" hidden="1" x14ac:dyDescent="0.45">
      <c r="B45" s="16" t="s">
        <v>276</v>
      </c>
      <c r="C45" s="16" t="s">
        <v>277</v>
      </c>
      <c r="D45" s="16" t="s">
        <v>27</v>
      </c>
      <c r="E45" s="16" t="s">
        <v>28</v>
      </c>
      <c r="F45" s="415" t="s">
        <v>278</v>
      </c>
      <c r="G45" s="417"/>
      <c r="H45" s="16" t="s">
        <v>532</v>
      </c>
      <c r="I45" s="16" t="s">
        <v>280</v>
      </c>
    </row>
    <row r="46" spans="2:21" ht="54" hidden="1" x14ac:dyDescent="0.45">
      <c r="B46" s="479" t="s">
        <v>533</v>
      </c>
      <c r="C46" s="479" t="s">
        <v>281</v>
      </c>
      <c r="D46" s="10" t="s">
        <v>534</v>
      </c>
      <c r="E46" s="16" t="s">
        <v>535</v>
      </c>
      <c r="F46" s="415" t="s">
        <v>536</v>
      </c>
      <c r="G46" s="417"/>
      <c r="H46" s="16">
        <f>ROUND(0.227*(D33/0.01)^0.444*100,0)</f>
        <v>0</v>
      </c>
      <c r="I46" s="109" t="s">
        <v>537</v>
      </c>
    </row>
    <row r="47" spans="2:21" ht="72" hidden="1" x14ac:dyDescent="0.45">
      <c r="B47" s="565"/>
      <c r="C47" s="566"/>
      <c r="D47" s="10" t="s">
        <v>538</v>
      </c>
      <c r="E47" s="16" t="s">
        <v>535</v>
      </c>
      <c r="F47" s="415" t="s">
        <v>539</v>
      </c>
      <c r="G47" s="417"/>
      <c r="H47" s="16">
        <f>ROUND(0.434*(D33/0.01)^0.373*100,0)</f>
        <v>0</v>
      </c>
      <c r="I47" s="109" t="s">
        <v>540</v>
      </c>
    </row>
    <row r="48" spans="2:21" ht="18.75" hidden="1" customHeight="1" x14ac:dyDescent="0.45">
      <c r="B48" s="565"/>
      <c r="C48" s="479" t="s">
        <v>295</v>
      </c>
      <c r="D48" s="10" t="s">
        <v>534</v>
      </c>
      <c r="E48" s="16" t="s">
        <v>283</v>
      </c>
      <c r="F48" s="415" t="s">
        <v>541</v>
      </c>
      <c r="G48" s="417"/>
      <c r="H48" s="34">
        <f>2.426*D31^0.0094*100</f>
        <v>0</v>
      </c>
      <c r="I48" s="1" t="s">
        <v>542</v>
      </c>
      <c r="Q48" s="107"/>
    </row>
    <row r="49" spans="2:18" ht="19.5" hidden="1" customHeight="1" x14ac:dyDescent="0.45">
      <c r="B49" s="565"/>
      <c r="C49" s="480"/>
      <c r="D49" s="10" t="s">
        <v>538</v>
      </c>
      <c r="E49" s="16" t="s">
        <v>283</v>
      </c>
      <c r="F49" s="415" t="s">
        <v>543</v>
      </c>
      <c r="G49" s="417"/>
      <c r="H49" s="34">
        <f>1.888*D31^0.597*100</f>
        <v>0</v>
      </c>
      <c r="I49" s="1" t="s">
        <v>544</v>
      </c>
      <c r="O49" s="475"/>
      <c r="Q49" s="107"/>
      <c r="R49" s="478"/>
    </row>
    <row r="50" spans="2:18" ht="19.8" hidden="1" x14ac:dyDescent="0.45">
      <c r="B50" s="565"/>
      <c r="C50" s="481"/>
      <c r="D50" s="162" t="s">
        <v>545</v>
      </c>
      <c r="E50" s="16" t="s">
        <v>283</v>
      </c>
      <c r="F50" s="415" t="s">
        <v>546</v>
      </c>
      <c r="G50" s="417"/>
      <c r="H50" s="34">
        <f>0.726*D31^0.539*100</f>
        <v>0</v>
      </c>
      <c r="I50" s="2" t="s">
        <v>547</v>
      </c>
      <c r="O50" s="475"/>
      <c r="Q50" s="107"/>
      <c r="R50" s="478"/>
    </row>
    <row r="51" spans="2:18" ht="19.5" hidden="1" customHeight="1" x14ac:dyDescent="0.45">
      <c r="B51" s="565"/>
      <c r="C51" s="131"/>
      <c r="D51" s="132" t="s">
        <v>548</v>
      </c>
      <c r="E51" s="16" t="s">
        <v>283</v>
      </c>
      <c r="F51" s="415" t="s">
        <v>42</v>
      </c>
      <c r="G51" s="417"/>
      <c r="H51" s="34">
        <f>H46+H47+H48+H49+H50</f>
        <v>0</v>
      </c>
      <c r="I51" s="1" t="s">
        <v>549</v>
      </c>
      <c r="O51" s="475"/>
      <c r="Q51" s="107"/>
    </row>
    <row r="52" spans="2:18" ht="19.5" hidden="1" customHeight="1" x14ac:dyDescent="0.45">
      <c r="B52" s="565"/>
      <c r="C52" s="163"/>
      <c r="D52" s="486" t="s">
        <v>310</v>
      </c>
      <c r="E52" s="420" t="s">
        <v>292</v>
      </c>
      <c r="F52" s="489" t="s">
        <v>311</v>
      </c>
      <c r="G52" s="490"/>
      <c r="H52" s="573">
        <f>H46*L52*(1+L52)^L55/((1+L52)^L55-1)+H47*L52*(1+L52)^L56/((1+L52)^L56-1)+H48*L52*(1+L52)^L55/((1+L52)^L55-1)+H49*L52*(1+L52)^L58/((1+L52)^L58-1)+H50*L52*(1+L52)^L59/((1+L52)^L59-1)</f>
        <v>0</v>
      </c>
      <c r="I52" s="501" t="s">
        <v>550</v>
      </c>
      <c r="K52" s="16" t="s">
        <v>551</v>
      </c>
      <c r="L52" s="156">
        <v>2.3E-2</v>
      </c>
      <c r="O52" s="475"/>
      <c r="P52" s="475"/>
      <c r="Q52" s="114"/>
    </row>
    <row r="53" spans="2:18" ht="19.5" hidden="1" customHeight="1" x14ac:dyDescent="0.45">
      <c r="B53" s="565"/>
      <c r="C53" s="164"/>
      <c r="D53" s="488"/>
      <c r="E53" s="419"/>
      <c r="F53" s="491"/>
      <c r="G53" s="492"/>
      <c r="H53" s="574"/>
      <c r="I53" s="502"/>
      <c r="K53" s="165"/>
      <c r="Q53" s="114"/>
    </row>
    <row r="54" spans="2:18" ht="18.75" hidden="1" customHeight="1" x14ac:dyDescent="0.45">
      <c r="B54" s="565"/>
      <c r="C54" s="479" t="s">
        <v>281</v>
      </c>
      <c r="D54" s="501" t="s">
        <v>552</v>
      </c>
      <c r="E54" s="420" t="s">
        <v>292</v>
      </c>
      <c r="F54" s="514" t="s">
        <v>553</v>
      </c>
      <c r="G54" s="515"/>
      <c r="H54" s="581">
        <f>0.039*((D33/0.01)*G31*G33)^0.596</f>
        <v>0</v>
      </c>
      <c r="I54" s="501" t="s">
        <v>554</v>
      </c>
      <c r="K54" s="584" t="s">
        <v>555</v>
      </c>
      <c r="L54" s="511"/>
      <c r="Q54" s="114"/>
    </row>
    <row r="55" spans="2:18" ht="18.75" hidden="1" customHeight="1" x14ac:dyDescent="0.45">
      <c r="B55" s="565"/>
      <c r="C55" s="480"/>
      <c r="D55" s="567"/>
      <c r="E55" s="578"/>
      <c r="F55" s="579"/>
      <c r="G55" s="580"/>
      <c r="H55" s="582"/>
      <c r="I55" s="567"/>
      <c r="K55" s="16" t="s">
        <v>556</v>
      </c>
      <c r="L55" s="16">
        <v>50</v>
      </c>
      <c r="Q55" s="114"/>
    </row>
    <row r="56" spans="2:18" ht="18.75" hidden="1" customHeight="1" x14ac:dyDescent="0.45">
      <c r="B56" s="565"/>
      <c r="C56" s="481"/>
      <c r="D56" s="502"/>
      <c r="E56" s="419"/>
      <c r="F56" s="516"/>
      <c r="G56" s="517"/>
      <c r="H56" s="583"/>
      <c r="I56" s="502"/>
      <c r="K56" s="92" t="s">
        <v>557</v>
      </c>
      <c r="L56" s="140">
        <v>15</v>
      </c>
    </row>
    <row r="57" spans="2:18" ht="18.75" hidden="1" customHeight="1" x14ac:dyDescent="0.45">
      <c r="B57" s="565"/>
      <c r="C57" s="479" t="s">
        <v>295</v>
      </c>
      <c r="D57" s="587" t="s">
        <v>552</v>
      </c>
      <c r="E57" s="420" t="s">
        <v>292</v>
      </c>
      <c r="F57" s="514" t="s">
        <v>558</v>
      </c>
      <c r="G57" s="515"/>
      <c r="H57" s="581">
        <f>0.287*(D31*G31*G33)^0.673</f>
        <v>0</v>
      </c>
      <c r="I57" s="479" t="s">
        <v>559</v>
      </c>
      <c r="K57" s="16" t="s">
        <v>371</v>
      </c>
      <c r="L57" s="16">
        <v>15</v>
      </c>
      <c r="Q57" s="114"/>
    </row>
    <row r="58" spans="2:18" ht="18.75" hidden="1" customHeight="1" x14ac:dyDescent="0.45">
      <c r="B58" s="565"/>
      <c r="C58" s="565"/>
      <c r="D58" s="588"/>
      <c r="E58" s="419"/>
      <c r="F58" s="516"/>
      <c r="G58" s="517"/>
      <c r="H58" s="583"/>
      <c r="I58" s="481"/>
      <c r="K58" s="13" t="s">
        <v>295</v>
      </c>
      <c r="L58" s="13">
        <v>10</v>
      </c>
    </row>
    <row r="59" spans="2:18" ht="18.75" hidden="1" customHeight="1" x14ac:dyDescent="0.45">
      <c r="B59" s="565"/>
      <c r="C59" s="565"/>
      <c r="D59" s="587" t="s">
        <v>560</v>
      </c>
      <c r="E59" s="420" t="s">
        <v>292</v>
      </c>
      <c r="F59" s="514" t="s">
        <v>561</v>
      </c>
      <c r="G59" s="490"/>
      <c r="H59" s="581" t="e">
        <f>ROUND(D33*(1-D34)*G31*G33*G39/(1-0.3)*10^-6,0)</f>
        <v>#VALUE!</v>
      </c>
      <c r="I59" s="501" t="s">
        <v>562</v>
      </c>
      <c r="K59" s="16" t="s">
        <v>325</v>
      </c>
      <c r="L59" s="16">
        <v>15</v>
      </c>
    </row>
    <row r="60" spans="2:18" ht="18.75" hidden="1" customHeight="1" x14ac:dyDescent="0.45">
      <c r="B60" s="565"/>
      <c r="C60" s="565"/>
      <c r="D60" s="589"/>
      <c r="E60" s="578"/>
      <c r="F60" s="579"/>
      <c r="G60" s="590"/>
      <c r="H60" s="582"/>
      <c r="I60" s="567"/>
      <c r="K60" s="575" t="s">
        <v>563</v>
      </c>
      <c r="L60" s="576"/>
    </row>
    <row r="61" spans="2:18" ht="18.75" hidden="1" customHeight="1" x14ac:dyDescent="0.45">
      <c r="B61" s="565"/>
      <c r="C61" s="565"/>
      <c r="D61" s="588"/>
      <c r="E61" s="419"/>
      <c r="F61" s="491"/>
      <c r="G61" s="492"/>
      <c r="H61" s="419"/>
      <c r="I61" s="502"/>
      <c r="K61" s="577"/>
      <c r="L61" s="577"/>
    </row>
    <row r="62" spans="2:18" ht="18.75" hidden="1" customHeight="1" x14ac:dyDescent="0.45">
      <c r="B62" s="565"/>
      <c r="C62" s="566"/>
      <c r="D62" s="132" t="s">
        <v>564</v>
      </c>
      <c r="E62" s="16" t="s">
        <v>292</v>
      </c>
      <c r="F62" s="415" t="s">
        <v>42</v>
      </c>
      <c r="G62" s="417"/>
      <c r="H62" s="34" t="e">
        <f>H57+H59</f>
        <v>#VALUE!</v>
      </c>
      <c r="I62" s="109" t="s">
        <v>565</v>
      </c>
    </row>
    <row r="63" spans="2:18" ht="18.75" hidden="1" customHeight="1" x14ac:dyDescent="0.45">
      <c r="B63" s="565"/>
      <c r="C63" s="131"/>
      <c r="D63" s="132" t="s">
        <v>566</v>
      </c>
      <c r="E63" s="16" t="s">
        <v>292</v>
      </c>
      <c r="F63" s="415" t="s">
        <v>42</v>
      </c>
      <c r="G63" s="486"/>
      <c r="H63" s="166" t="e">
        <f>H54+H57+H59</f>
        <v>#VALUE!</v>
      </c>
      <c r="I63" s="167" t="s">
        <v>567</v>
      </c>
    </row>
    <row r="64" spans="2:18" ht="54" hidden="1" x14ac:dyDescent="0.45">
      <c r="B64" s="565"/>
      <c r="C64" s="131"/>
      <c r="D64" s="132" t="s">
        <v>568</v>
      </c>
      <c r="E64" s="16" t="s">
        <v>292</v>
      </c>
      <c r="F64" s="585" t="s">
        <v>569</v>
      </c>
      <c r="G64" s="586"/>
      <c r="H64" s="34">
        <f>H52*(0.15*0.4+0.04)</f>
        <v>0</v>
      </c>
      <c r="I64" s="109" t="s">
        <v>570</v>
      </c>
    </row>
    <row r="65" spans="2:17" ht="18.75" hidden="1" customHeight="1" x14ac:dyDescent="0.45">
      <c r="B65" s="566"/>
      <c r="C65" s="568" t="s">
        <v>323</v>
      </c>
      <c r="D65" s="569"/>
      <c r="E65" s="13" t="s">
        <v>292</v>
      </c>
      <c r="F65" s="485" t="s">
        <v>42</v>
      </c>
      <c r="G65" s="486"/>
      <c r="H65" s="168" t="e">
        <f>H52+H63+H64</f>
        <v>#VALUE!</v>
      </c>
      <c r="I65" s="141" t="s">
        <v>571</v>
      </c>
    </row>
    <row r="66" spans="2:17" ht="18.75" hidden="1" customHeight="1" x14ac:dyDescent="0.45">
      <c r="B66" s="479" t="s">
        <v>326</v>
      </c>
      <c r="C66" s="141" t="s">
        <v>281</v>
      </c>
      <c r="D66" s="10" t="s">
        <v>572</v>
      </c>
      <c r="E66" s="13" t="s">
        <v>292</v>
      </c>
      <c r="F66" s="507" t="s">
        <v>573</v>
      </c>
      <c r="G66" s="506"/>
      <c r="H66" s="169">
        <f>1.06*D33+14.11</f>
        <v>14.11</v>
      </c>
      <c r="I66" s="1" t="s">
        <v>574</v>
      </c>
    </row>
    <row r="67" spans="2:17" ht="18.75" hidden="1" customHeight="1" x14ac:dyDescent="0.45">
      <c r="B67" s="480"/>
      <c r="C67" s="479" t="s">
        <v>295</v>
      </c>
      <c r="D67" s="10" t="s">
        <v>572</v>
      </c>
      <c r="E67" s="13" t="s">
        <v>292</v>
      </c>
      <c r="F67" s="505" t="s">
        <v>575</v>
      </c>
      <c r="G67" s="506"/>
      <c r="H67" s="169">
        <f>4.43*D33+161.4</f>
        <v>161.4</v>
      </c>
      <c r="I67" s="1" t="s">
        <v>576</v>
      </c>
      <c r="Q67" s="107"/>
    </row>
    <row r="68" spans="2:17" ht="18.75" hidden="1" customHeight="1" x14ac:dyDescent="0.45">
      <c r="B68" s="480"/>
      <c r="C68" s="481"/>
      <c r="D68" s="162" t="s">
        <v>577</v>
      </c>
      <c r="E68" s="13" t="s">
        <v>292</v>
      </c>
      <c r="F68" s="505" t="s">
        <v>578</v>
      </c>
      <c r="G68" s="506"/>
      <c r="H68" s="169">
        <f>1.19*D33+19.3</f>
        <v>19.3</v>
      </c>
      <c r="I68" s="1" t="s">
        <v>579</v>
      </c>
      <c r="K68" s="170"/>
      <c r="Q68" s="107"/>
    </row>
    <row r="69" spans="2:17" ht="18.75" hidden="1" customHeight="1" x14ac:dyDescent="0.45">
      <c r="B69" s="480"/>
      <c r="C69" s="479" t="s">
        <v>371</v>
      </c>
      <c r="D69" s="10" t="s">
        <v>572</v>
      </c>
      <c r="E69" s="13" t="s">
        <v>292</v>
      </c>
      <c r="F69" s="505" t="s">
        <v>580</v>
      </c>
      <c r="G69" s="506"/>
      <c r="H69" s="169">
        <f>0.86*D33+1.06</f>
        <v>1.06</v>
      </c>
      <c r="I69" s="1" t="s">
        <v>581</v>
      </c>
      <c r="K69" s="170"/>
      <c r="O69" s="475"/>
      <c r="P69" s="475"/>
      <c r="Q69" s="114"/>
    </row>
    <row r="70" spans="2:17" ht="18.75" hidden="1" customHeight="1" x14ac:dyDescent="0.45">
      <c r="B70" s="480"/>
      <c r="C70" s="481"/>
      <c r="D70" s="162" t="s">
        <v>577</v>
      </c>
      <c r="E70" s="13" t="s">
        <v>292</v>
      </c>
      <c r="F70" s="505" t="s">
        <v>582</v>
      </c>
      <c r="G70" s="506"/>
      <c r="H70" s="169">
        <f>0.133*D33+1.59</f>
        <v>1.59</v>
      </c>
      <c r="I70" s="1" t="s">
        <v>583</v>
      </c>
      <c r="K70" s="165"/>
      <c r="Q70" s="114"/>
    </row>
    <row r="71" spans="2:17" ht="18.75" hidden="1" customHeight="1" x14ac:dyDescent="0.45">
      <c r="B71" s="480"/>
      <c r="C71" s="171"/>
      <c r="D71" s="162" t="s">
        <v>584</v>
      </c>
      <c r="E71" s="13" t="s">
        <v>292</v>
      </c>
      <c r="F71" s="505" t="s">
        <v>585</v>
      </c>
      <c r="G71" s="506"/>
      <c r="H71" s="169">
        <f>0.071*D33+5.19</f>
        <v>5.19</v>
      </c>
      <c r="I71" s="1" t="s">
        <v>586</v>
      </c>
      <c r="K71" s="165"/>
      <c r="Q71" s="114"/>
    </row>
    <row r="72" spans="2:17" ht="18.75" hidden="1" customHeight="1" x14ac:dyDescent="0.45">
      <c r="B72" s="480"/>
      <c r="C72" s="172"/>
      <c r="D72" s="132" t="s">
        <v>310</v>
      </c>
      <c r="E72" s="13" t="s">
        <v>292</v>
      </c>
      <c r="F72" s="415" t="s">
        <v>42</v>
      </c>
      <c r="G72" s="417"/>
      <c r="H72" s="169">
        <f>H66+H67+H68+H69+H70+H71</f>
        <v>202.65</v>
      </c>
      <c r="I72" s="1" t="s">
        <v>587</v>
      </c>
      <c r="K72" s="475"/>
      <c r="L72" s="475"/>
      <c r="O72" s="475"/>
      <c r="P72" s="475"/>
      <c r="Q72" s="107"/>
    </row>
    <row r="73" spans="2:17" ht="18.75" hidden="1" customHeight="1" x14ac:dyDescent="0.45">
      <c r="B73" s="480"/>
      <c r="C73" s="479" t="s">
        <v>281</v>
      </c>
      <c r="D73" s="479" t="s">
        <v>588</v>
      </c>
      <c r="E73" s="16" t="s">
        <v>589</v>
      </c>
      <c r="F73" s="415" t="s">
        <v>590</v>
      </c>
      <c r="G73" s="417"/>
      <c r="H73" s="173">
        <f xml:space="preserve"> 20.39*D33-18.17</f>
        <v>-18.170000000000002</v>
      </c>
      <c r="I73" s="1" t="s">
        <v>591</v>
      </c>
      <c r="Q73" s="107"/>
    </row>
    <row r="74" spans="2:17" ht="18.75" hidden="1" customHeight="1" x14ac:dyDescent="0.45">
      <c r="B74" s="480"/>
      <c r="C74" s="480"/>
      <c r="D74" s="481"/>
      <c r="E74" s="129" t="s">
        <v>292</v>
      </c>
      <c r="F74" s="485" t="s">
        <v>592</v>
      </c>
      <c r="G74" s="486"/>
      <c r="H74" s="174">
        <f>H73*G34*10^-3</f>
        <v>0</v>
      </c>
      <c r="I74" s="143" t="s">
        <v>593</v>
      </c>
      <c r="K74" s="97"/>
      <c r="L74" s="94"/>
      <c r="O74" s="475"/>
      <c r="P74" s="475"/>
      <c r="Q74" s="125"/>
    </row>
    <row r="75" spans="2:17" ht="18.75" hidden="1" customHeight="1" x14ac:dyDescent="0.45">
      <c r="B75" s="480"/>
      <c r="C75" s="480"/>
      <c r="D75" s="479" t="s">
        <v>594</v>
      </c>
      <c r="E75" s="129" t="s">
        <v>595</v>
      </c>
      <c r="F75" s="485" t="s">
        <v>596</v>
      </c>
      <c r="G75" s="486"/>
      <c r="H75" s="173">
        <f xml:space="preserve"> 2.07*D33</f>
        <v>0</v>
      </c>
      <c r="I75" s="1" t="s">
        <v>591</v>
      </c>
      <c r="Q75" s="125"/>
    </row>
    <row r="76" spans="2:17" ht="18.75" hidden="1" customHeight="1" x14ac:dyDescent="0.45">
      <c r="B76" s="480"/>
      <c r="C76" s="480"/>
      <c r="D76" s="565"/>
      <c r="E76" s="129" t="s">
        <v>597</v>
      </c>
      <c r="F76" s="415" t="s">
        <v>598</v>
      </c>
      <c r="G76" s="417"/>
      <c r="H76" s="174">
        <f>29.57*D33</f>
        <v>0</v>
      </c>
      <c r="I76" s="143" t="s">
        <v>599</v>
      </c>
      <c r="O76" s="475"/>
      <c r="P76" s="475"/>
      <c r="Q76" s="114"/>
    </row>
    <row r="77" spans="2:17" ht="18.75" hidden="1" customHeight="1" x14ac:dyDescent="0.45">
      <c r="B77" s="480"/>
      <c r="C77" s="480"/>
      <c r="D77" s="565"/>
      <c r="E77" s="418" t="s">
        <v>600</v>
      </c>
      <c r="F77" s="485" t="s">
        <v>601</v>
      </c>
      <c r="G77" s="486"/>
      <c r="H77" s="592">
        <f>H75*G35*10^-3</f>
        <v>0</v>
      </c>
      <c r="I77" s="501" t="s">
        <v>602</v>
      </c>
      <c r="Q77" s="114"/>
    </row>
    <row r="78" spans="2:17" ht="18.75" hidden="1" customHeight="1" x14ac:dyDescent="0.45">
      <c r="B78" s="480"/>
      <c r="C78" s="480"/>
      <c r="D78" s="565"/>
      <c r="E78" s="591"/>
      <c r="F78" s="487"/>
      <c r="G78" s="488"/>
      <c r="H78" s="593"/>
      <c r="I78" s="481"/>
      <c r="Q78" s="114"/>
    </row>
    <row r="79" spans="2:17" ht="19.5" hidden="1" customHeight="1" x14ac:dyDescent="0.45">
      <c r="B79" s="480"/>
      <c r="C79" s="480"/>
      <c r="D79" s="565"/>
      <c r="E79" s="418" t="s">
        <v>603</v>
      </c>
      <c r="F79" s="485" t="s">
        <v>604</v>
      </c>
      <c r="G79" s="486"/>
      <c r="H79" s="592">
        <f>H76*G36*10^-3</f>
        <v>0</v>
      </c>
      <c r="I79" s="501" t="s">
        <v>605</v>
      </c>
      <c r="Q79" s="114"/>
    </row>
    <row r="80" spans="2:17" ht="19.5" hidden="1" customHeight="1" x14ac:dyDescent="0.45">
      <c r="B80" s="480"/>
      <c r="C80" s="480"/>
      <c r="D80" s="565"/>
      <c r="E80" s="591"/>
      <c r="F80" s="487"/>
      <c r="G80" s="488"/>
      <c r="H80" s="593"/>
      <c r="I80" s="481"/>
      <c r="K80" s="170"/>
      <c r="Q80" s="114"/>
    </row>
    <row r="81" spans="2:17" ht="18.75" hidden="1" customHeight="1" x14ac:dyDescent="0.45">
      <c r="B81" s="480"/>
      <c r="C81" s="481"/>
      <c r="D81" s="566"/>
      <c r="E81" s="129" t="s">
        <v>292</v>
      </c>
      <c r="F81" s="415" t="s">
        <v>42</v>
      </c>
      <c r="G81" s="417"/>
      <c r="H81" s="175">
        <f>H77+H79</f>
        <v>0</v>
      </c>
      <c r="I81" s="176" t="s">
        <v>606</v>
      </c>
      <c r="Q81" s="114"/>
    </row>
    <row r="82" spans="2:17" ht="18.75" hidden="1" customHeight="1" x14ac:dyDescent="0.45">
      <c r="B82" s="480"/>
      <c r="C82" s="479" t="s">
        <v>607</v>
      </c>
      <c r="D82" s="479" t="s">
        <v>588</v>
      </c>
      <c r="E82" s="420" t="s">
        <v>589</v>
      </c>
      <c r="F82" s="485" t="s">
        <v>608</v>
      </c>
      <c r="G82" s="486"/>
      <c r="H82" s="594">
        <f>39.39*D33+222.84</f>
        <v>222.84</v>
      </c>
      <c r="I82" s="596" t="s">
        <v>609</v>
      </c>
      <c r="K82" s="170"/>
      <c r="O82" s="86"/>
    </row>
    <row r="83" spans="2:17" ht="18.75" hidden="1" customHeight="1" x14ac:dyDescent="0.45">
      <c r="B83" s="480"/>
      <c r="C83" s="480"/>
      <c r="D83" s="480"/>
      <c r="E83" s="419"/>
      <c r="F83" s="487"/>
      <c r="G83" s="488"/>
      <c r="H83" s="595"/>
      <c r="I83" s="597"/>
      <c r="K83" s="170"/>
      <c r="O83" s="86"/>
    </row>
    <row r="84" spans="2:17" ht="19.5" hidden="1" customHeight="1" x14ac:dyDescent="0.45">
      <c r="B84" s="480"/>
      <c r="C84" s="480"/>
      <c r="D84" s="481"/>
      <c r="E84" s="129" t="s">
        <v>292</v>
      </c>
      <c r="F84" s="485" t="s">
        <v>610</v>
      </c>
      <c r="G84" s="486"/>
      <c r="H84" s="177">
        <f>H82*G34*10^-3</f>
        <v>0</v>
      </c>
      <c r="I84" s="10" t="s">
        <v>611</v>
      </c>
      <c r="O84" s="86"/>
    </row>
    <row r="85" spans="2:17" s="94" customFormat="1" hidden="1" x14ac:dyDescent="0.45">
      <c r="B85" s="480"/>
      <c r="C85" s="480"/>
      <c r="D85" s="598" t="s">
        <v>612</v>
      </c>
      <c r="E85" s="134" t="s">
        <v>613</v>
      </c>
      <c r="F85" s="484" t="s">
        <v>614</v>
      </c>
      <c r="G85" s="417"/>
      <c r="H85" s="178">
        <f>112.07*D33-217.98</f>
        <v>-217.98</v>
      </c>
      <c r="I85" s="1" t="s">
        <v>591</v>
      </c>
      <c r="O85" s="599"/>
      <c r="P85" s="599"/>
    </row>
    <row r="86" spans="2:17" ht="19.5" hidden="1" customHeight="1" x14ac:dyDescent="0.45">
      <c r="B86" s="480"/>
      <c r="C86" s="480"/>
      <c r="D86" s="480"/>
      <c r="E86" s="13" t="s">
        <v>292</v>
      </c>
      <c r="F86" s="505" t="s">
        <v>615</v>
      </c>
      <c r="G86" s="417"/>
      <c r="H86" s="169">
        <f>H85*G34*10^-3</f>
        <v>0</v>
      </c>
      <c r="I86" s="142" t="s">
        <v>616</v>
      </c>
      <c r="K86" s="170"/>
    </row>
    <row r="87" spans="2:17" ht="19.5" hidden="1" customHeight="1" x14ac:dyDescent="0.45">
      <c r="B87" s="480"/>
      <c r="C87" s="480"/>
      <c r="D87" s="479" t="s">
        <v>617</v>
      </c>
      <c r="E87" s="16" t="s">
        <v>618</v>
      </c>
      <c r="F87" s="505" t="s">
        <v>619</v>
      </c>
      <c r="G87" s="417"/>
      <c r="H87" s="179">
        <f>0.098*D33</f>
        <v>0</v>
      </c>
      <c r="I87" s="142" t="s">
        <v>620</v>
      </c>
    </row>
    <row r="88" spans="2:17" ht="19.5" hidden="1" customHeight="1" x14ac:dyDescent="0.45">
      <c r="B88" s="480"/>
      <c r="C88" s="480"/>
      <c r="D88" s="481"/>
      <c r="E88" s="130" t="s">
        <v>621</v>
      </c>
      <c r="F88" s="505" t="s">
        <v>622</v>
      </c>
      <c r="G88" s="417"/>
      <c r="H88" s="179">
        <f>H87*G37*10^-3</f>
        <v>0</v>
      </c>
      <c r="I88" s="141" t="s">
        <v>623</v>
      </c>
    </row>
    <row r="89" spans="2:17" ht="36" hidden="1" x14ac:dyDescent="0.45">
      <c r="B89" s="480"/>
      <c r="C89" s="480"/>
      <c r="D89" s="479" t="s">
        <v>624</v>
      </c>
      <c r="E89" s="17" t="s">
        <v>625</v>
      </c>
      <c r="F89" s="505" t="s">
        <v>626</v>
      </c>
      <c r="G89" s="506"/>
      <c r="H89" s="34">
        <f>42.98*D33</f>
        <v>0</v>
      </c>
      <c r="I89" s="1" t="s">
        <v>591</v>
      </c>
      <c r="O89" s="475"/>
      <c r="P89" s="475"/>
    </row>
    <row r="90" spans="2:17" ht="19.5" hidden="1" customHeight="1" x14ac:dyDescent="0.45">
      <c r="B90" s="480"/>
      <c r="C90" s="480"/>
      <c r="D90" s="480"/>
      <c r="E90" s="13" t="s">
        <v>292</v>
      </c>
      <c r="F90" s="585" t="s">
        <v>627</v>
      </c>
      <c r="G90" s="586"/>
      <c r="H90" s="168">
        <f>H89*G38*10^-3</f>
        <v>0</v>
      </c>
      <c r="I90" s="141" t="s">
        <v>628</v>
      </c>
      <c r="K90" s="170"/>
    </row>
    <row r="91" spans="2:17" ht="39" hidden="1" customHeight="1" x14ac:dyDescent="0.45">
      <c r="B91" s="480"/>
      <c r="C91" s="480"/>
      <c r="D91" s="479" t="s">
        <v>629</v>
      </c>
      <c r="E91" s="17" t="s">
        <v>630</v>
      </c>
      <c r="F91" s="415" t="s">
        <v>631</v>
      </c>
      <c r="G91" s="417"/>
      <c r="H91" s="34">
        <f>75.56*D33</f>
        <v>0</v>
      </c>
      <c r="I91" s="1" t="s">
        <v>591</v>
      </c>
      <c r="O91" s="475"/>
      <c r="P91" s="475"/>
    </row>
    <row r="92" spans="2:17" ht="19.5" hidden="1" customHeight="1" x14ac:dyDescent="0.45">
      <c r="B92" s="480"/>
      <c r="C92" s="480"/>
      <c r="D92" s="480"/>
      <c r="E92" s="13" t="s">
        <v>292</v>
      </c>
      <c r="F92" s="489" t="s">
        <v>632</v>
      </c>
      <c r="G92" s="490"/>
      <c r="H92" s="168">
        <f>H91*G39*10^-6</f>
        <v>0</v>
      </c>
      <c r="I92" s="1" t="s">
        <v>633</v>
      </c>
    </row>
    <row r="93" spans="2:17" ht="19.5" hidden="1" customHeight="1" x14ac:dyDescent="0.45">
      <c r="B93" s="480"/>
      <c r="C93" s="480"/>
      <c r="D93" s="10" t="s">
        <v>634</v>
      </c>
      <c r="E93" s="16" t="s">
        <v>292</v>
      </c>
      <c r="F93" s="415" t="s">
        <v>635</v>
      </c>
      <c r="G93" s="417"/>
      <c r="H93" s="34">
        <v>94</v>
      </c>
      <c r="I93" s="1" t="s">
        <v>636</v>
      </c>
    </row>
    <row r="94" spans="2:17" ht="19.5" hidden="1" customHeight="1" x14ac:dyDescent="0.45">
      <c r="B94" s="480"/>
      <c r="C94" s="480"/>
      <c r="D94" s="10" t="s">
        <v>637</v>
      </c>
      <c r="E94" s="16" t="s">
        <v>292</v>
      </c>
      <c r="F94" s="415" t="s">
        <v>635</v>
      </c>
      <c r="G94" s="417"/>
      <c r="H94" s="34">
        <v>58</v>
      </c>
      <c r="I94" s="1" t="s">
        <v>638</v>
      </c>
    </row>
    <row r="95" spans="2:17" hidden="1" x14ac:dyDescent="0.45">
      <c r="B95" s="480"/>
      <c r="C95" s="481"/>
      <c r="D95" s="16" t="s">
        <v>639</v>
      </c>
      <c r="E95" s="16" t="s">
        <v>292</v>
      </c>
      <c r="F95" s="415" t="s">
        <v>42</v>
      </c>
      <c r="G95" s="417"/>
      <c r="H95" s="34">
        <f>H74+H81+H84-H86+H88+H90+H92+H93+H94</f>
        <v>152</v>
      </c>
      <c r="I95" s="2" t="s">
        <v>640</v>
      </c>
      <c r="K95" s="170"/>
    </row>
    <row r="96" spans="2:17" ht="54" hidden="1" x14ac:dyDescent="0.45">
      <c r="B96" s="480"/>
      <c r="C96" s="131"/>
      <c r="D96" s="132" t="s">
        <v>568</v>
      </c>
      <c r="E96" s="16" t="s">
        <v>292</v>
      </c>
      <c r="F96" s="585" t="s">
        <v>569</v>
      </c>
      <c r="G96" s="586"/>
      <c r="H96" s="34">
        <f>H72*(0.15*0.4+0.04)</f>
        <v>20.265000000000001</v>
      </c>
      <c r="I96" s="109" t="s">
        <v>641</v>
      </c>
    </row>
    <row r="97" spans="2:12" ht="19.5" hidden="1" customHeight="1" x14ac:dyDescent="0.45">
      <c r="B97" s="481"/>
      <c r="C97" s="431" t="s">
        <v>323</v>
      </c>
      <c r="D97" s="431"/>
      <c r="E97" s="16" t="s">
        <v>292</v>
      </c>
      <c r="F97" s="415" t="s">
        <v>42</v>
      </c>
      <c r="G97" s="417"/>
      <c r="H97" s="34">
        <f>H72+H95+H96</f>
        <v>374.91499999999996</v>
      </c>
      <c r="I97" s="1" t="s">
        <v>642</v>
      </c>
    </row>
    <row r="98" spans="2:12" ht="39" hidden="1" customHeight="1" x14ac:dyDescent="0.45">
      <c r="B98" s="518" t="s">
        <v>394</v>
      </c>
      <c r="C98" s="519"/>
      <c r="D98" s="520"/>
      <c r="E98" s="16" t="s">
        <v>395</v>
      </c>
      <c r="F98" s="415" t="s">
        <v>42</v>
      </c>
      <c r="G98" s="417"/>
      <c r="H98" s="156" t="e">
        <f>1-H97/H65</f>
        <v>#VALUE!</v>
      </c>
      <c r="I98" s="1" t="s">
        <v>643</v>
      </c>
    </row>
    <row r="99" spans="2:12" ht="19.5" hidden="1" customHeight="1" x14ac:dyDescent="0.45"/>
    <row r="100" spans="2:12" ht="32.4" hidden="1" x14ac:dyDescent="0.45">
      <c r="B100" s="86" t="s">
        <v>644</v>
      </c>
    </row>
    <row r="101" spans="2:12" ht="19.5" hidden="1" customHeight="1" x14ac:dyDescent="0.45">
      <c r="B101" s="423" t="s">
        <v>27</v>
      </c>
      <c r="C101" s="423"/>
      <c r="D101" s="423"/>
      <c r="E101" s="16" t="s">
        <v>28</v>
      </c>
      <c r="F101" s="415" t="s">
        <v>398</v>
      </c>
      <c r="G101" s="417"/>
      <c r="H101" s="131" t="s">
        <v>279</v>
      </c>
      <c r="I101" s="16" t="s">
        <v>280</v>
      </c>
    </row>
    <row r="102" spans="2:12" ht="19.5" hidden="1" customHeight="1" x14ac:dyDescent="0.45">
      <c r="B102" s="163" t="s">
        <v>131</v>
      </c>
      <c r="C102" s="180"/>
      <c r="D102" s="162" t="s">
        <v>645</v>
      </c>
      <c r="E102" s="16" t="s">
        <v>283</v>
      </c>
      <c r="F102" s="415" t="s">
        <v>42</v>
      </c>
      <c r="G102" s="417"/>
      <c r="H102" s="181">
        <f>H51</f>
        <v>0</v>
      </c>
      <c r="I102" s="182" t="s">
        <v>646</v>
      </c>
    </row>
    <row r="103" spans="2:12" ht="19.5" hidden="1" customHeight="1" x14ac:dyDescent="0.45">
      <c r="B103" s="163" t="s">
        <v>326</v>
      </c>
      <c r="C103" s="180"/>
      <c r="D103" s="180" t="s">
        <v>645</v>
      </c>
      <c r="E103" s="16" t="s">
        <v>283</v>
      </c>
      <c r="F103" s="415" t="s">
        <v>647</v>
      </c>
      <c r="G103" s="417"/>
      <c r="H103" s="181">
        <f>H66/(L52*(1+L52)^L56)*((1+L52)^L56-1)+H67/(L52*(1+L52)^L58)*((1+L52)^L58-1)+H68/(L52*(1+L52)^L59)*((1+L52)^L59-1)+H69/(L52*(1+L52)^L57)*((1+L52)^L57-1)+H70/(L52*(1+L52)^L59)*((1+L52)^L59-1)+H71/(L52*(1+L52)^L55)*((1+L52)^L55-1)</f>
        <v>2033.6720424143473</v>
      </c>
      <c r="I103" s="1" t="s">
        <v>648</v>
      </c>
    </row>
    <row r="104" spans="2:12" ht="39" hidden="1" customHeight="1" x14ac:dyDescent="0.45">
      <c r="B104" s="518" t="s">
        <v>649</v>
      </c>
      <c r="C104" s="600"/>
      <c r="D104" s="601"/>
      <c r="E104" s="16" t="s">
        <v>395</v>
      </c>
      <c r="F104" s="415" t="s">
        <v>42</v>
      </c>
      <c r="G104" s="417"/>
      <c r="H104" s="183" t="e">
        <f>1-H103/H102</f>
        <v>#DIV/0!</v>
      </c>
      <c r="I104" s="1" t="s">
        <v>643</v>
      </c>
    </row>
    <row r="105" spans="2:12" ht="19.5" hidden="1" customHeight="1" x14ac:dyDescent="0.45">
      <c r="B105" s="163" t="s">
        <v>131</v>
      </c>
      <c r="C105" s="180"/>
      <c r="D105" s="162" t="s">
        <v>650</v>
      </c>
      <c r="E105" s="16" t="s">
        <v>292</v>
      </c>
      <c r="F105" s="415" t="s">
        <v>42</v>
      </c>
      <c r="G105" s="417"/>
      <c r="H105" s="181" t="e">
        <f>H63</f>
        <v>#VALUE!</v>
      </c>
      <c r="I105" s="1" t="s">
        <v>380</v>
      </c>
    </row>
    <row r="106" spans="2:12" ht="19.5" hidden="1" customHeight="1" x14ac:dyDescent="0.45">
      <c r="B106" s="163" t="s">
        <v>326</v>
      </c>
      <c r="C106" s="180"/>
      <c r="D106" s="162" t="s">
        <v>650</v>
      </c>
      <c r="E106" s="16" t="s">
        <v>292</v>
      </c>
      <c r="F106" s="415" t="s">
        <v>42</v>
      </c>
      <c r="G106" s="417"/>
      <c r="H106" s="181">
        <f>H95</f>
        <v>152</v>
      </c>
      <c r="I106" s="1" t="s">
        <v>651</v>
      </c>
    </row>
    <row r="107" spans="2:12" ht="39" hidden="1" customHeight="1" x14ac:dyDescent="0.45">
      <c r="B107" s="518" t="s">
        <v>652</v>
      </c>
      <c r="C107" s="600"/>
      <c r="D107" s="601"/>
      <c r="E107" s="16" t="s">
        <v>395</v>
      </c>
      <c r="F107" s="415" t="s">
        <v>42</v>
      </c>
      <c r="G107" s="417"/>
      <c r="H107" s="183" t="e">
        <f>1-H106/H105</f>
        <v>#VALUE!</v>
      </c>
      <c r="I107" s="1" t="s">
        <v>653</v>
      </c>
      <c r="K107" s="170"/>
    </row>
    <row r="108" spans="2:12" ht="19.5" customHeight="1" x14ac:dyDescent="0.45">
      <c r="K108" s="145"/>
    </row>
    <row r="109" spans="2:12" ht="32.4" x14ac:dyDescent="0.45">
      <c r="B109" s="86" t="s">
        <v>397</v>
      </c>
    </row>
    <row r="110" spans="2:12" ht="19.5" customHeight="1" x14ac:dyDescent="0.45">
      <c r="B110" s="407" t="s">
        <v>27</v>
      </c>
      <c r="C110" s="407"/>
      <c r="D110" s="407"/>
      <c r="E110" s="26" t="s">
        <v>28</v>
      </c>
      <c r="F110" s="441" t="s">
        <v>398</v>
      </c>
      <c r="G110" s="442"/>
      <c r="H110" s="225" t="s">
        <v>399</v>
      </c>
      <c r="I110" s="26" t="s">
        <v>400</v>
      </c>
      <c r="K110" s="228" t="s">
        <v>654</v>
      </c>
      <c r="L110" s="226"/>
    </row>
    <row r="111" spans="2:12" ht="19.5" customHeight="1" x14ac:dyDescent="0.45">
      <c r="B111" s="602" t="s">
        <v>533</v>
      </c>
      <c r="C111" s="602" t="s">
        <v>281</v>
      </c>
      <c r="D111" s="550" t="s">
        <v>655</v>
      </c>
      <c r="E111" s="533" t="s">
        <v>589</v>
      </c>
      <c r="F111" s="604" t="s">
        <v>656</v>
      </c>
      <c r="G111" s="449"/>
      <c r="H111" s="608">
        <f>22*D31*G31*G33*10^-3</f>
        <v>0</v>
      </c>
      <c r="I111" s="466" t="s">
        <v>657</v>
      </c>
      <c r="K111" s="264" t="s">
        <v>658</v>
      </c>
      <c r="L111" s="536">
        <v>9.5</v>
      </c>
    </row>
    <row r="112" spans="2:12" ht="19.5" customHeight="1" x14ac:dyDescent="0.45">
      <c r="B112" s="611"/>
      <c r="C112" s="603"/>
      <c r="D112" s="530"/>
      <c r="E112" s="534"/>
      <c r="F112" s="452"/>
      <c r="G112" s="453"/>
      <c r="H112" s="609"/>
      <c r="I112" s="617"/>
      <c r="K112" s="265" t="s">
        <v>659</v>
      </c>
      <c r="L112" s="552"/>
    </row>
    <row r="113" spans="2:12" ht="19.5" customHeight="1" x14ac:dyDescent="0.45">
      <c r="B113" s="611"/>
      <c r="C113" s="602" t="s">
        <v>295</v>
      </c>
      <c r="D113" s="550" t="s">
        <v>655</v>
      </c>
      <c r="E113" s="533" t="s">
        <v>589</v>
      </c>
      <c r="F113" s="604" t="s">
        <v>660</v>
      </c>
      <c r="G113" s="605"/>
      <c r="H113" s="608">
        <f>(1.12*D31+266)*G31*24*G33*10^-3</f>
        <v>0</v>
      </c>
      <c r="I113" s="610" t="s">
        <v>661</v>
      </c>
      <c r="K113" s="266" t="s">
        <v>662</v>
      </c>
      <c r="L113" s="552">
        <v>39.1</v>
      </c>
    </row>
    <row r="114" spans="2:12" ht="19.5" customHeight="1" x14ac:dyDescent="0.45">
      <c r="B114" s="611"/>
      <c r="C114" s="603"/>
      <c r="D114" s="530"/>
      <c r="E114" s="534"/>
      <c r="F114" s="606"/>
      <c r="G114" s="607"/>
      <c r="H114" s="609"/>
      <c r="I114" s="468"/>
      <c r="K114" s="265" t="s">
        <v>257</v>
      </c>
      <c r="L114" s="552"/>
    </row>
    <row r="115" spans="2:12" x14ac:dyDescent="0.45">
      <c r="B115" s="611"/>
      <c r="C115" s="273"/>
      <c r="D115" s="612" t="s">
        <v>663</v>
      </c>
      <c r="E115" s="26" t="s">
        <v>589</v>
      </c>
      <c r="F115" s="476" t="s">
        <v>42</v>
      </c>
      <c r="G115" s="477"/>
      <c r="H115" s="257">
        <f>H111+H113</f>
        <v>0</v>
      </c>
      <c r="I115" s="267" t="s">
        <v>664</v>
      </c>
      <c r="K115" s="170"/>
    </row>
    <row r="116" spans="2:12" ht="20.25" customHeight="1" x14ac:dyDescent="0.45">
      <c r="B116" s="611"/>
      <c r="C116" s="274"/>
      <c r="D116" s="613"/>
      <c r="E116" s="275" t="s">
        <v>665</v>
      </c>
      <c r="F116" s="614" t="s">
        <v>666</v>
      </c>
      <c r="G116" s="615"/>
      <c r="H116" s="258">
        <f>H115*L111</f>
        <v>0</v>
      </c>
      <c r="I116" s="268" t="s">
        <v>334</v>
      </c>
      <c r="K116" s="170"/>
    </row>
    <row r="117" spans="2:12" x14ac:dyDescent="0.45">
      <c r="B117" s="611"/>
      <c r="C117" s="602" t="s">
        <v>295</v>
      </c>
      <c r="D117" s="550" t="s">
        <v>667</v>
      </c>
      <c r="E117" s="533" t="s">
        <v>665</v>
      </c>
      <c r="F117" s="604" t="s">
        <v>668</v>
      </c>
      <c r="G117" s="605"/>
      <c r="H117" s="608">
        <f>H113*L111*20467/26778</f>
        <v>0</v>
      </c>
      <c r="I117" s="610" t="s">
        <v>669</v>
      </c>
      <c r="K117" s="170"/>
    </row>
    <row r="118" spans="2:12" x14ac:dyDescent="0.45">
      <c r="B118" s="611"/>
      <c r="C118" s="603"/>
      <c r="D118" s="530"/>
      <c r="E118" s="534"/>
      <c r="F118" s="606"/>
      <c r="G118" s="607"/>
      <c r="H118" s="609"/>
      <c r="I118" s="616"/>
      <c r="K118" s="170"/>
    </row>
    <row r="119" spans="2:12" ht="19.5" customHeight="1" x14ac:dyDescent="0.45">
      <c r="B119" s="603"/>
      <c r="C119" s="276"/>
      <c r="D119" s="277" t="s">
        <v>670</v>
      </c>
      <c r="E119" s="275" t="s">
        <v>665</v>
      </c>
      <c r="F119" s="476" t="s">
        <v>42</v>
      </c>
      <c r="G119" s="477"/>
      <c r="H119" s="254">
        <f>H116+H117</f>
        <v>0</v>
      </c>
      <c r="I119" s="250" t="s">
        <v>671</v>
      </c>
      <c r="K119" s="145"/>
    </row>
    <row r="120" spans="2:12" ht="19.5" customHeight="1" x14ac:dyDescent="0.45">
      <c r="B120" s="602" t="s">
        <v>326</v>
      </c>
      <c r="C120" s="278" t="s">
        <v>281</v>
      </c>
      <c r="D120" s="244" t="s">
        <v>655</v>
      </c>
      <c r="E120" s="245" t="s">
        <v>589</v>
      </c>
      <c r="F120" s="604" t="str">
        <f>F73</f>
        <v>Y= 20.39×XD－18.17</v>
      </c>
      <c r="G120" s="629"/>
      <c r="H120" s="259">
        <f>H73</f>
        <v>-18.170000000000002</v>
      </c>
      <c r="I120" s="11" t="s">
        <v>672</v>
      </c>
    </row>
    <row r="121" spans="2:12" ht="19.5" customHeight="1" x14ac:dyDescent="0.45">
      <c r="B121" s="611"/>
      <c r="C121" s="602" t="s">
        <v>607</v>
      </c>
      <c r="D121" s="550" t="s">
        <v>655</v>
      </c>
      <c r="E121" s="533" t="s">
        <v>589</v>
      </c>
      <c r="F121" s="630" t="str">
        <f>F82</f>
        <v>Y=39.39×XD+222.84</v>
      </c>
      <c r="G121" s="629"/>
      <c r="H121" s="623">
        <f>H82</f>
        <v>222.84</v>
      </c>
      <c r="I121" s="624" t="s">
        <v>673</v>
      </c>
      <c r="K121" s="145"/>
    </row>
    <row r="122" spans="2:12" ht="19.5" customHeight="1" x14ac:dyDescent="0.45">
      <c r="B122" s="611"/>
      <c r="C122" s="603"/>
      <c r="D122" s="603"/>
      <c r="E122" s="620"/>
      <c r="F122" s="631"/>
      <c r="G122" s="632"/>
      <c r="H122" s="621"/>
      <c r="I122" s="625"/>
      <c r="K122" s="145"/>
    </row>
    <row r="123" spans="2:12" x14ac:dyDescent="0.45">
      <c r="B123" s="611"/>
      <c r="C123" s="273"/>
      <c r="D123" s="612" t="s">
        <v>663</v>
      </c>
      <c r="E123" s="26" t="s">
        <v>589</v>
      </c>
      <c r="F123" s="476" t="s">
        <v>42</v>
      </c>
      <c r="G123" s="477"/>
      <c r="H123" s="257">
        <f>H120+H121</f>
        <v>204.67000000000002</v>
      </c>
      <c r="I123" s="267" t="s">
        <v>674</v>
      </c>
      <c r="K123" s="170"/>
    </row>
    <row r="124" spans="2:12" x14ac:dyDescent="0.45">
      <c r="B124" s="611"/>
      <c r="C124" s="279"/>
      <c r="D124" s="613"/>
      <c r="E124" s="275" t="s">
        <v>665</v>
      </c>
      <c r="F124" s="614" t="str">
        <f>F116</f>
        <v>Y=消費電力合計(MWh/年)×エネルギー消費原単位(MJ/kWh)</v>
      </c>
      <c r="G124" s="626"/>
      <c r="H124" s="257">
        <f>H123*L111</f>
        <v>1944.3650000000002</v>
      </c>
      <c r="I124" s="267" t="s">
        <v>370</v>
      </c>
      <c r="K124" s="170"/>
    </row>
    <row r="125" spans="2:12" ht="19.5" customHeight="1" x14ac:dyDescent="0.45">
      <c r="B125" s="611"/>
      <c r="C125" s="602" t="s">
        <v>607</v>
      </c>
      <c r="D125" s="550" t="s">
        <v>675</v>
      </c>
      <c r="E125" s="153" t="s">
        <v>618</v>
      </c>
      <c r="F125" s="627" t="str">
        <f>F87</f>
        <v>Y=0.098×XD</v>
      </c>
      <c r="G125" s="628"/>
      <c r="H125" s="260">
        <f>H87</f>
        <v>0</v>
      </c>
      <c r="I125" s="269" t="s">
        <v>676</v>
      </c>
    </row>
    <row r="126" spans="2:12" ht="19.5" customHeight="1" x14ac:dyDescent="0.45">
      <c r="B126" s="611"/>
      <c r="C126" s="603"/>
      <c r="D126" s="603"/>
      <c r="E126" s="26" t="s">
        <v>665</v>
      </c>
      <c r="F126" s="614" t="s">
        <v>677</v>
      </c>
      <c r="G126" s="626"/>
      <c r="H126" s="261">
        <f>H125*L113</f>
        <v>0</v>
      </c>
      <c r="I126" s="270" t="s">
        <v>380</v>
      </c>
    </row>
    <row r="127" spans="2:12" ht="19.5" customHeight="1" x14ac:dyDescent="0.45">
      <c r="B127" s="611"/>
      <c r="C127" s="276"/>
      <c r="D127" s="229" t="s">
        <v>670</v>
      </c>
      <c r="E127" s="265" t="s">
        <v>665</v>
      </c>
      <c r="F127" s="476" t="s">
        <v>42</v>
      </c>
      <c r="G127" s="477"/>
      <c r="H127" s="254">
        <f>H124+H126</f>
        <v>1944.3650000000002</v>
      </c>
      <c r="I127" s="250" t="s">
        <v>678</v>
      </c>
      <c r="K127" s="145"/>
    </row>
    <row r="128" spans="2:12" ht="19.5" customHeight="1" x14ac:dyDescent="0.45">
      <c r="B128" s="611"/>
      <c r="C128" s="602" t="s">
        <v>607</v>
      </c>
      <c r="D128" s="550" t="s">
        <v>679</v>
      </c>
      <c r="E128" s="26" t="s">
        <v>589</v>
      </c>
      <c r="F128" s="476" t="str">
        <f>F85</f>
        <v>Y=112.07×XD-217.98</v>
      </c>
      <c r="G128" s="477"/>
      <c r="H128" s="254">
        <f>H85</f>
        <v>-217.98</v>
      </c>
      <c r="I128" s="269" t="s">
        <v>574</v>
      </c>
      <c r="K128" s="145"/>
    </row>
    <row r="129" spans="2:16" x14ac:dyDescent="0.45">
      <c r="B129" s="611"/>
      <c r="C129" s="603"/>
      <c r="D129" s="603"/>
      <c r="E129" s="26" t="s">
        <v>665</v>
      </c>
      <c r="F129" s="614" t="s">
        <v>680</v>
      </c>
      <c r="G129" s="615"/>
      <c r="H129" s="257">
        <f>H128*L111</f>
        <v>-2070.81</v>
      </c>
      <c r="I129" s="267" t="s">
        <v>681</v>
      </c>
      <c r="K129" s="170"/>
    </row>
    <row r="130" spans="2:16" x14ac:dyDescent="0.45">
      <c r="B130" s="611"/>
      <c r="C130" s="448" t="s">
        <v>682</v>
      </c>
      <c r="D130" s="449"/>
      <c r="E130" s="545" t="s">
        <v>665</v>
      </c>
      <c r="F130" s="448"/>
      <c r="G130" s="449"/>
      <c r="H130" s="608">
        <f>H127-H129</f>
        <v>4015.1750000000002</v>
      </c>
      <c r="I130" s="271" t="s">
        <v>683</v>
      </c>
    </row>
    <row r="131" spans="2:16" x14ac:dyDescent="0.45">
      <c r="B131" s="603"/>
      <c r="C131" s="618"/>
      <c r="D131" s="619"/>
      <c r="E131" s="620"/>
      <c r="F131" s="280"/>
      <c r="G131" s="281"/>
      <c r="H131" s="621"/>
      <c r="I131" s="272" t="s">
        <v>684</v>
      </c>
    </row>
    <row r="132" spans="2:16" ht="39" customHeight="1" x14ac:dyDescent="0.45">
      <c r="B132" s="543" t="s">
        <v>397</v>
      </c>
      <c r="C132" s="544"/>
      <c r="D132" s="622"/>
      <c r="E132" s="26" t="s">
        <v>395</v>
      </c>
      <c r="F132" s="476" t="s">
        <v>42</v>
      </c>
      <c r="G132" s="477"/>
      <c r="H132" s="262" t="e">
        <f>(1-H130/H119)</f>
        <v>#DIV/0!</v>
      </c>
      <c r="I132" s="250" t="s">
        <v>685</v>
      </c>
      <c r="P132" s="100" t="s">
        <v>686</v>
      </c>
    </row>
    <row r="133" spans="2:16" ht="19.5" customHeight="1" x14ac:dyDescent="0.45"/>
    <row r="134" spans="2:16" ht="33" customHeight="1" x14ac:dyDescent="0.45">
      <c r="B134" s="86" t="s">
        <v>432</v>
      </c>
      <c r="K134" s="184"/>
      <c r="L134" s="106"/>
    </row>
    <row r="135" spans="2:16" ht="19.5" customHeight="1" x14ac:dyDescent="0.45">
      <c r="B135" s="407" t="s">
        <v>27</v>
      </c>
      <c r="C135" s="407"/>
      <c r="D135" s="407"/>
      <c r="E135" s="26" t="s">
        <v>28</v>
      </c>
      <c r="F135" s="441" t="s">
        <v>398</v>
      </c>
      <c r="G135" s="442"/>
      <c r="H135" s="225" t="s">
        <v>433</v>
      </c>
      <c r="I135" s="26" t="s">
        <v>280</v>
      </c>
      <c r="K135" s="228" t="s">
        <v>687</v>
      </c>
      <c r="L135" s="226"/>
    </row>
    <row r="136" spans="2:16" ht="19.5" customHeight="1" x14ac:dyDescent="0.45">
      <c r="B136" s="602" t="s">
        <v>533</v>
      </c>
      <c r="C136" s="634" t="s">
        <v>281</v>
      </c>
      <c r="D136" s="358" t="s">
        <v>434</v>
      </c>
      <c r="E136" s="359" t="s">
        <v>1300</v>
      </c>
      <c r="F136" s="471" t="s">
        <v>1304</v>
      </c>
      <c r="G136" s="472"/>
      <c r="H136" s="362">
        <f>H111*L136</f>
        <v>0</v>
      </c>
      <c r="I136" s="11" t="s">
        <v>688</v>
      </c>
      <c r="K136" s="264" t="s">
        <v>658</v>
      </c>
      <c r="L136" s="637">
        <v>0.48799999999999999</v>
      </c>
    </row>
    <row r="137" spans="2:16" ht="19.5" customHeight="1" x14ac:dyDescent="0.45">
      <c r="B137" s="611"/>
      <c r="C137" s="635"/>
      <c r="D137" s="550" t="s">
        <v>689</v>
      </c>
      <c r="E137" s="285" t="s">
        <v>441</v>
      </c>
      <c r="F137" s="630" t="s">
        <v>690</v>
      </c>
      <c r="G137" s="547"/>
      <c r="H137" s="608">
        <f>0.005*D33*G31*G33*L140</f>
        <v>0</v>
      </c>
      <c r="I137" s="244" t="s">
        <v>691</v>
      </c>
      <c r="K137" s="265" t="s">
        <v>692</v>
      </c>
      <c r="L137" s="638"/>
    </row>
    <row r="138" spans="2:16" ht="19.5" customHeight="1" x14ac:dyDescent="0.45">
      <c r="B138" s="611"/>
      <c r="C138" s="636"/>
      <c r="D138" s="603"/>
      <c r="E138" s="286"/>
      <c r="F138" s="606" t="s">
        <v>693</v>
      </c>
      <c r="G138" s="639"/>
      <c r="H138" s="621"/>
      <c r="I138" s="246" t="s">
        <v>694</v>
      </c>
      <c r="K138" s="266" t="s">
        <v>662</v>
      </c>
      <c r="L138" s="535">
        <v>2.71</v>
      </c>
    </row>
    <row r="139" spans="2:16" ht="19.5" customHeight="1" x14ac:dyDescent="0.45">
      <c r="B139" s="611"/>
      <c r="C139" s="634" t="s">
        <v>695</v>
      </c>
      <c r="D139" s="358" t="s">
        <v>434</v>
      </c>
      <c r="E139" s="360" t="s">
        <v>1300</v>
      </c>
      <c r="F139" s="471" t="s">
        <v>1304</v>
      </c>
      <c r="G139" s="472"/>
      <c r="H139" s="361">
        <f>H113*L136</f>
        <v>0</v>
      </c>
      <c r="I139" s="250" t="s">
        <v>696</v>
      </c>
      <c r="K139" s="265" t="s">
        <v>697</v>
      </c>
      <c r="L139" s="536"/>
    </row>
    <row r="140" spans="2:16" ht="19.5" customHeight="1" x14ac:dyDescent="0.45">
      <c r="B140" s="611"/>
      <c r="C140" s="635"/>
      <c r="D140" s="640" t="s">
        <v>698</v>
      </c>
      <c r="E140" s="355" t="s">
        <v>1300</v>
      </c>
      <c r="F140" s="641" t="s">
        <v>699</v>
      </c>
      <c r="G140" s="642"/>
      <c r="H140" s="643">
        <f>H117/L113*L138</f>
        <v>0</v>
      </c>
      <c r="I140" s="466" t="s">
        <v>334</v>
      </c>
      <c r="K140" s="266" t="s">
        <v>700</v>
      </c>
      <c r="L140" s="552">
        <v>6.5</v>
      </c>
    </row>
    <row r="141" spans="2:16" ht="19.5" customHeight="1" x14ac:dyDescent="0.45">
      <c r="B141" s="611"/>
      <c r="C141" s="635"/>
      <c r="D141" s="636"/>
      <c r="E141" s="360"/>
      <c r="F141" s="645" t="s">
        <v>701</v>
      </c>
      <c r="G141" s="646"/>
      <c r="H141" s="644"/>
      <c r="I141" s="617"/>
      <c r="K141" s="265" t="s">
        <v>702</v>
      </c>
      <c r="L141" s="552"/>
    </row>
    <row r="142" spans="2:16" ht="19.5" customHeight="1" x14ac:dyDescent="0.45">
      <c r="B142" s="611"/>
      <c r="C142" s="635"/>
      <c r="D142" s="550" t="s">
        <v>703</v>
      </c>
      <c r="E142" s="285" t="s">
        <v>441</v>
      </c>
      <c r="F142" s="647" t="s">
        <v>704</v>
      </c>
      <c r="G142" s="648"/>
      <c r="H142" s="608">
        <f>814/100*D31*L144*0.24</f>
        <v>0</v>
      </c>
      <c r="I142" s="282" t="s">
        <v>705</v>
      </c>
      <c r="K142" s="266" t="s">
        <v>706</v>
      </c>
      <c r="L142" s="552">
        <v>3.0800000000000001E-2</v>
      </c>
    </row>
    <row r="143" spans="2:16" ht="19.5" customHeight="1" x14ac:dyDescent="0.45">
      <c r="B143" s="611"/>
      <c r="C143" s="636"/>
      <c r="D143" s="603"/>
      <c r="E143" s="286"/>
      <c r="F143" s="649"/>
      <c r="G143" s="650"/>
      <c r="H143" s="621"/>
      <c r="I143" s="283" t="s">
        <v>707</v>
      </c>
      <c r="K143" s="265" t="s">
        <v>708</v>
      </c>
      <c r="L143" s="552"/>
    </row>
    <row r="144" spans="2:16" ht="19.5" customHeight="1" x14ac:dyDescent="0.45">
      <c r="B144" s="611"/>
      <c r="C144" s="287"/>
      <c r="D144" s="391" t="s">
        <v>709</v>
      </c>
      <c r="E144" s="285" t="s">
        <v>441</v>
      </c>
      <c r="F144" s="448" t="s">
        <v>42</v>
      </c>
      <c r="G144" s="449"/>
      <c r="H144" s="392">
        <f>H136+H137+H139+H140+H142</f>
        <v>0</v>
      </c>
      <c r="I144" s="284" t="s">
        <v>710</v>
      </c>
      <c r="K144" s="266" t="s">
        <v>711</v>
      </c>
      <c r="L144" s="552">
        <v>0.93799999999999994</v>
      </c>
    </row>
    <row r="145" spans="2:18" ht="19.5" customHeight="1" x14ac:dyDescent="0.45">
      <c r="B145" s="633"/>
      <c r="C145" s="545" t="s">
        <v>695</v>
      </c>
      <c r="D145" s="466" t="s">
        <v>444</v>
      </c>
      <c r="E145" s="285" t="s">
        <v>714</v>
      </c>
      <c r="F145" s="380" t="s">
        <v>715</v>
      </c>
      <c r="G145" s="379"/>
      <c r="H145" s="382">
        <f>0.000645*D31*G31*G33</f>
        <v>0</v>
      </c>
      <c r="I145" s="244" t="s">
        <v>716</v>
      </c>
      <c r="K145" s="265" t="s">
        <v>712</v>
      </c>
      <c r="L145" s="552"/>
    </row>
    <row r="146" spans="2:18" ht="19.5" customHeight="1" x14ac:dyDescent="0.45">
      <c r="B146" s="633"/>
      <c r="C146" s="654"/>
      <c r="D146" s="467"/>
      <c r="E146" s="286"/>
      <c r="F146" s="251"/>
      <c r="G146" s="381"/>
      <c r="H146" s="383"/>
      <c r="I146" s="246"/>
      <c r="K146" s="185" t="s">
        <v>713</v>
      </c>
    </row>
    <row r="147" spans="2:18" ht="19.5" customHeight="1" x14ac:dyDescent="0.45">
      <c r="B147" s="611"/>
      <c r="C147" s="620"/>
      <c r="D147" s="468"/>
      <c r="E147" s="249" t="s">
        <v>441</v>
      </c>
      <c r="F147" s="225" t="s">
        <v>719</v>
      </c>
      <c r="G147" s="226"/>
      <c r="H147" s="254">
        <f>H145*298</f>
        <v>0</v>
      </c>
      <c r="I147" s="250" t="s">
        <v>365</v>
      </c>
      <c r="K147" s="186" t="s">
        <v>717</v>
      </c>
    </row>
    <row r="148" spans="2:18" ht="19.5" customHeight="1" x14ac:dyDescent="0.45">
      <c r="B148" s="611"/>
      <c r="C148" s="228"/>
      <c r="D148" s="229" t="s">
        <v>415</v>
      </c>
      <c r="E148" s="249" t="s">
        <v>441</v>
      </c>
      <c r="F148" s="441" t="s">
        <v>42</v>
      </c>
      <c r="G148" s="442"/>
      <c r="H148" s="254">
        <f>H144+H147</f>
        <v>0</v>
      </c>
      <c r="I148" s="250" t="s">
        <v>720</v>
      </c>
      <c r="K148" s="186" t="s">
        <v>718</v>
      </c>
    </row>
    <row r="149" spans="2:18" ht="19.5" customHeight="1" x14ac:dyDescent="0.45">
      <c r="B149" s="287" t="s">
        <v>721</v>
      </c>
      <c r="C149" s="634" t="s">
        <v>281</v>
      </c>
      <c r="D149" s="358" t="s">
        <v>434</v>
      </c>
      <c r="E149" s="359" t="s">
        <v>1300</v>
      </c>
      <c r="F149" s="471" t="s">
        <v>1304</v>
      </c>
      <c r="G149" s="472"/>
      <c r="H149" s="363">
        <f>H120*L136</f>
        <v>-8.8669600000000006</v>
      </c>
      <c r="I149" s="250" t="s">
        <v>375</v>
      </c>
      <c r="Q149" s="107"/>
      <c r="R149" s="100"/>
    </row>
    <row r="150" spans="2:18" ht="19.2" x14ac:dyDescent="0.45">
      <c r="B150" s="288"/>
      <c r="C150" s="651"/>
      <c r="D150" s="550" t="s">
        <v>689</v>
      </c>
      <c r="E150" s="285" t="s">
        <v>441</v>
      </c>
      <c r="F150" s="630" t="s">
        <v>722</v>
      </c>
      <c r="G150" s="629"/>
      <c r="H150" s="608">
        <f>0.007*D33*G31*G33*L140</f>
        <v>0</v>
      </c>
      <c r="I150" s="244" t="s">
        <v>723</v>
      </c>
      <c r="Q150" s="125"/>
      <c r="R150" s="100"/>
    </row>
    <row r="151" spans="2:18" ht="18.75" customHeight="1" x14ac:dyDescent="0.45">
      <c r="B151" s="288"/>
      <c r="C151" s="651"/>
      <c r="D151" s="530"/>
      <c r="E151" s="286"/>
      <c r="F151" s="606" t="s">
        <v>693</v>
      </c>
      <c r="G151" s="607"/>
      <c r="H151" s="653"/>
      <c r="I151" s="246" t="s">
        <v>724</v>
      </c>
    </row>
    <row r="152" spans="2:18" ht="19.2" x14ac:dyDescent="0.45">
      <c r="B152" s="288"/>
      <c r="C152" s="651"/>
      <c r="D152" s="550" t="s">
        <v>725</v>
      </c>
      <c r="E152" s="285" t="s">
        <v>441</v>
      </c>
      <c r="F152" s="630" t="s">
        <v>726</v>
      </c>
      <c r="G152" s="629"/>
      <c r="H152" s="608">
        <f>0.1*D33*G31*G33*L142</f>
        <v>0</v>
      </c>
      <c r="I152" s="244" t="s">
        <v>727</v>
      </c>
      <c r="Q152" s="125"/>
      <c r="R152" s="100"/>
    </row>
    <row r="153" spans="2:18" ht="18.75" customHeight="1" x14ac:dyDescent="0.45">
      <c r="B153" s="288"/>
      <c r="C153" s="652"/>
      <c r="D153" s="530"/>
      <c r="E153" s="286"/>
      <c r="F153" s="606" t="s">
        <v>728</v>
      </c>
      <c r="G153" s="607"/>
      <c r="H153" s="653"/>
      <c r="I153" s="246" t="s">
        <v>729</v>
      </c>
    </row>
    <row r="154" spans="2:18" ht="19.2" x14ac:dyDescent="0.45">
      <c r="B154" s="289"/>
      <c r="C154" s="634" t="s">
        <v>730</v>
      </c>
      <c r="D154" s="358" t="s">
        <v>434</v>
      </c>
      <c r="E154" s="360" t="s">
        <v>1300</v>
      </c>
      <c r="F154" s="471" t="s">
        <v>1304</v>
      </c>
      <c r="G154" s="472"/>
      <c r="H154" s="361">
        <f>H121*L136</f>
        <v>108.74592</v>
      </c>
      <c r="I154" s="250" t="s">
        <v>390</v>
      </c>
    </row>
    <row r="155" spans="2:18" ht="19.2" x14ac:dyDescent="0.45">
      <c r="B155" s="289"/>
      <c r="C155" s="651"/>
      <c r="D155" s="364" t="s">
        <v>698</v>
      </c>
      <c r="E155" s="355" t="s">
        <v>1300</v>
      </c>
      <c r="F155" s="655" t="s">
        <v>731</v>
      </c>
      <c r="G155" s="656"/>
      <c r="H155" s="365">
        <f>H125*L138</f>
        <v>0</v>
      </c>
      <c r="I155" s="284" t="s">
        <v>681</v>
      </c>
    </row>
    <row r="156" spans="2:18" ht="20.25" customHeight="1" x14ac:dyDescent="0.45">
      <c r="B156" s="289"/>
      <c r="C156" s="651"/>
      <c r="D156" s="550" t="s">
        <v>703</v>
      </c>
      <c r="E156" s="285" t="s">
        <v>441</v>
      </c>
      <c r="F156" s="454" t="s">
        <v>732</v>
      </c>
      <c r="G156" s="455"/>
      <c r="H156" s="608">
        <f>H89*L144*0.24</f>
        <v>0</v>
      </c>
      <c r="I156" s="466" t="s">
        <v>733</v>
      </c>
    </row>
    <row r="157" spans="2:18" x14ac:dyDescent="0.45">
      <c r="B157" s="289"/>
      <c r="C157" s="652"/>
      <c r="D157" s="530"/>
      <c r="E157" s="286"/>
      <c r="F157" s="458"/>
      <c r="G157" s="459"/>
      <c r="H157" s="653"/>
      <c r="I157" s="468"/>
    </row>
    <row r="158" spans="2:18" ht="19.2" x14ac:dyDescent="0.45">
      <c r="B158" s="289"/>
      <c r="C158" s="287"/>
      <c r="D158" s="391" t="s">
        <v>709</v>
      </c>
      <c r="E158" s="285" t="s">
        <v>441</v>
      </c>
      <c r="F158" s="476" t="s">
        <v>42</v>
      </c>
      <c r="G158" s="477"/>
      <c r="H158" s="392">
        <f>H149+H150+H152+H154+H155+H156</f>
        <v>99.878959999999992</v>
      </c>
      <c r="I158" s="284" t="s">
        <v>734</v>
      </c>
    </row>
    <row r="159" spans="2:18" ht="18.75" customHeight="1" x14ac:dyDescent="0.45">
      <c r="B159" s="288"/>
      <c r="C159" s="602" t="s">
        <v>735</v>
      </c>
      <c r="D159" s="602" t="s">
        <v>736</v>
      </c>
      <c r="E159" s="410" t="s">
        <v>737</v>
      </c>
      <c r="F159" s="630" t="s">
        <v>738</v>
      </c>
      <c r="G159" s="659"/>
      <c r="H159" s="661">
        <f>0.0001*D38*G31*G33</f>
        <v>0</v>
      </c>
      <c r="I159" s="522" t="s">
        <v>739</v>
      </c>
    </row>
    <row r="160" spans="2:18" x14ac:dyDescent="0.45">
      <c r="B160" s="288"/>
      <c r="C160" s="611"/>
      <c r="D160" s="611"/>
      <c r="E160" s="412"/>
      <c r="F160" s="631"/>
      <c r="G160" s="660"/>
      <c r="H160" s="662"/>
      <c r="I160" s="528"/>
    </row>
    <row r="161" spans="2:9" ht="19.2" x14ac:dyDescent="0.45">
      <c r="B161" s="288"/>
      <c r="C161" s="603"/>
      <c r="D161" s="603"/>
      <c r="E161" s="85" t="s">
        <v>438</v>
      </c>
      <c r="F161" s="441" t="s">
        <v>719</v>
      </c>
      <c r="G161" s="442"/>
      <c r="H161" s="263">
        <f>H159*298</f>
        <v>0</v>
      </c>
      <c r="I161" s="252" t="s">
        <v>740</v>
      </c>
    </row>
    <row r="162" spans="2:9" ht="19.2" x14ac:dyDescent="0.45">
      <c r="B162" s="288"/>
      <c r="C162" s="228"/>
      <c r="D162" s="290" t="s">
        <v>741</v>
      </c>
      <c r="E162" s="85" t="s">
        <v>438</v>
      </c>
      <c r="F162" s="441" t="s">
        <v>42</v>
      </c>
      <c r="G162" s="442"/>
      <c r="H162" s="254">
        <f>H158+H161</f>
        <v>99.878959999999992</v>
      </c>
      <c r="I162" s="252" t="s">
        <v>742</v>
      </c>
    </row>
    <row r="163" spans="2:9" ht="19.2" x14ac:dyDescent="0.45">
      <c r="B163" s="288"/>
      <c r="C163" s="278" t="s">
        <v>607</v>
      </c>
      <c r="D163" s="19" t="s">
        <v>469</v>
      </c>
      <c r="E163" s="85" t="s">
        <v>438</v>
      </c>
      <c r="F163" s="441" t="s">
        <v>743</v>
      </c>
      <c r="G163" s="442"/>
      <c r="H163" s="254">
        <f>-H128*L136</f>
        <v>106.37423999999999</v>
      </c>
      <c r="I163" s="252" t="s">
        <v>602</v>
      </c>
    </row>
    <row r="164" spans="2:9" ht="19.2" x14ac:dyDescent="0.45">
      <c r="B164" s="291"/>
      <c r="C164" s="228"/>
      <c r="D164" s="290" t="s">
        <v>744</v>
      </c>
      <c r="E164" s="85" t="s">
        <v>438</v>
      </c>
      <c r="F164" s="441" t="s">
        <v>42</v>
      </c>
      <c r="G164" s="442"/>
      <c r="H164" s="254">
        <f>H162+H163</f>
        <v>206.25319999999999</v>
      </c>
      <c r="I164" s="252" t="s">
        <v>745</v>
      </c>
    </row>
    <row r="165" spans="2:9" ht="28.8" x14ac:dyDescent="0.45">
      <c r="B165" s="555" t="s">
        <v>432</v>
      </c>
      <c r="C165" s="556"/>
      <c r="D165" s="556"/>
      <c r="E165" s="26" t="s">
        <v>395</v>
      </c>
      <c r="F165" s="441" t="s">
        <v>42</v>
      </c>
      <c r="G165" s="442"/>
      <c r="H165" s="255" t="e">
        <f>1-H164/H148</f>
        <v>#DIV/0!</v>
      </c>
      <c r="I165" s="253" t="s">
        <v>746</v>
      </c>
    </row>
    <row r="166" spans="2:9" ht="18.75" customHeight="1" x14ac:dyDescent="0.45">
      <c r="B166" s="100"/>
      <c r="C166" s="100"/>
      <c r="D166" s="160"/>
    </row>
    <row r="167" spans="2:9" x14ac:dyDescent="0.45">
      <c r="B167" s="657" t="s">
        <v>747</v>
      </c>
      <c r="C167" s="658"/>
      <c r="D167" s="658"/>
      <c r="E167" s="658"/>
      <c r="F167" s="658"/>
      <c r="G167" s="658"/>
      <c r="H167" s="658"/>
      <c r="I167" s="658"/>
    </row>
    <row r="168" spans="2:9" ht="36.75" customHeight="1" x14ac:dyDescent="0.45">
      <c r="B168" s="658"/>
      <c r="C168" s="658"/>
      <c r="D168" s="658"/>
      <c r="E168" s="658"/>
      <c r="F168" s="658"/>
      <c r="G168" s="658"/>
      <c r="H168" s="658"/>
      <c r="I168" s="658"/>
    </row>
    <row r="172" spans="2:9" x14ac:dyDescent="0.45">
      <c r="B172" s="431" t="s">
        <v>1298</v>
      </c>
      <c r="C172" s="431"/>
      <c r="D172" s="313">
        <f>H148-H164</f>
        <v>-206.25319999999999</v>
      </c>
      <c r="E172" s="312" t="s">
        <v>21</v>
      </c>
    </row>
    <row r="173" spans="2:9" x14ac:dyDescent="0.45">
      <c r="B173" s="431" t="s">
        <v>1299</v>
      </c>
      <c r="C173" s="431"/>
      <c r="D173" s="313">
        <f>H136+H139+H140-H149-H154-H155</f>
        <v>-99.878959999999992</v>
      </c>
      <c r="E173" s="312" t="s">
        <v>21</v>
      </c>
    </row>
  </sheetData>
  <mergeCells count="239">
    <mergeCell ref="C154:C157"/>
    <mergeCell ref="F154:G154"/>
    <mergeCell ref="F155:G155"/>
    <mergeCell ref="D156:D157"/>
    <mergeCell ref="F156:G157"/>
    <mergeCell ref="H156:H157"/>
    <mergeCell ref="B167:I168"/>
    <mergeCell ref="F161:G161"/>
    <mergeCell ref="F162:G162"/>
    <mergeCell ref="F163:G163"/>
    <mergeCell ref="F164:G164"/>
    <mergeCell ref="B165:D165"/>
    <mergeCell ref="F165:G165"/>
    <mergeCell ref="I156:I157"/>
    <mergeCell ref="F158:G158"/>
    <mergeCell ref="C159:C161"/>
    <mergeCell ref="D159:D161"/>
    <mergeCell ref="E159:E160"/>
    <mergeCell ref="F159:G160"/>
    <mergeCell ref="H159:H160"/>
    <mergeCell ref="I159:I160"/>
    <mergeCell ref="L144:L145"/>
    <mergeCell ref="F148:G148"/>
    <mergeCell ref="C149:C153"/>
    <mergeCell ref="F149:G149"/>
    <mergeCell ref="D150:D151"/>
    <mergeCell ref="F150:G150"/>
    <mergeCell ref="H150:H151"/>
    <mergeCell ref="F151:G151"/>
    <mergeCell ref="D152:D153"/>
    <mergeCell ref="F152:G152"/>
    <mergeCell ref="H152:H153"/>
    <mergeCell ref="F153:G153"/>
    <mergeCell ref="C145:C147"/>
    <mergeCell ref="D145:D147"/>
    <mergeCell ref="B135:D135"/>
    <mergeCell ref="F135:G135"/>
    <mergeCell ref="B136:B148"/>
    <mergeCell ref="C136:C138"/>
    <mergeCell ref="F136:G136"/>
    <mergeCell ref="L136:L137"/>
    <mergeCell ref="D137:D138"/>
    <mergeCell ref="F137:G137"/>
    <mergeCell ref="H137:H138"/>
    <mergeCell ref="F138:G138"/>
    <mergeCell ref="L138:L139"/>
    <mergeCell ref="C139:C143"/>
    <mergeCell ref="F139:G139"/>
    <mergeCell ref="D140:D141"/>
    <mergeCell ref="F140:G140"/>
    <mergeCell ref="H140:H141"/>
    <mergeCell ref="I140:I141"/>
    <mergeCell ref="L140:L141"/>
    <mergeCell ref="F141:G141"/>
    <mergeCell ref="D142:D143"/>
    <mergeCell ref="F142:G143"/>
    <mergeCell ref="H142:H143"/>
    <mergeCell ref="L142:L143"/>
    <mergeCell ref="F144:G144"/>
    <mergeCell ref="C130:D131"/>
    <mergeCell ref="E130:E131"/>
    <mergeCell ref="F130:G130"/>
    <mergeCell ref="H130:H131"/>
    <mergeCell ref="B132:D132"/>
    <mergeCell ref="F132:G132"/>
    <mergeCell ref="H121:H122"/>
    <mergeCell ref="I121:I122"/>
    <mergeCell ref="D123:D124"/>
    <mergeCell ref="F123:G123"/>
    <mergeCell ref="F124:G124"/>
    <mergeCell ref="C125:C126"/>
    <mergeCell ref="D125:D126"/>
    <mergeCell ref="F125:G125"/>
    <mergeCell ref="F126:G126"/>
    <mergeCell ref="B120:B131"/>
    <mergeCell ref="F120:G120"/>
    <mergeCell ref="C121:C122"/>
    <mergeCell ref="D121:D122"/>
    <mergeCell ref="E121:E122"/>
    <mergeCell ref="F121:G122"/>
    <mergeCell ref="F127:G127"/>
    <mergeCell ref="C128:C129"/>
    <mergeCell ref="D128:D129"/>
    <mergeCell ref="F128:G128"/>
    <mergeCell ref="D117:D118"/>
    <mergeCell ref="E117:E118"/>
    <mergeCell ref="F117:G118"/>
    <mergeCell ref="H117:H118"/>
    <mergeCell ref="I117:I118"/>
    <mergeCell ref="F119:G119"/>
    <mergeCell ref="I111:I112"/>
    <mergeCell ref="F129:G129"/>
    <mergeCell ref="L111:L112"/>
    <mergeCell ref="C113:C114"/>
    <mergeCell ref="D113:D114"/>
    <mergeCell ref="E113:E114"/>
    <mergeCell ref="F113:G114"/>
    <mergeCell ref="H113:H114"/>
    <mergeCell ref="I113:I114"/>
    <mergeCell ref="L113:L114"/>
    <mergeCell ref="B111:B119"/>
    <mergeCell ref="C111:C112"/>
    <mergeCell ref="D111:D112"/>
    <mergeCell ref="E111:E112"/>
    <mergeCell ref="F111:G112"/>
    <mergeCell ref="H111:H112"/>
    <mergeCell ref="D115:D116"/>
    <mergeCell ref="F115:G115"/>
    <mergeCell ref="F116:G116"/>
    <mergeCell ref="C117:C118"/>
    <mergeCell ref="F105:G105"/>
    <mergeCell ref="F106:G106"/>
    <mergeCell ref="B107:D107"/>
    <mergeCell ref="F107:G107"/>
    <mergeCell ref="B110:D110"/>
    <mergeCell ref="F110:G110"/>
    <mergeCell ref="B101:D101"/>
    <mergeCell ref="F101:G101"/>
    <mergeCell ref="F102:G102"/>
    <mergeCell ref="F103:G103"/>
    <mergeCell ref="B104:D104"/>
    <mergeCell ref="F104:G104"/>
    <mergeCell ref="F96:G96"/>
    <mergeCell ref="C97:D97"/>
    <mergeCell ref="F97:G97"/>
    <mergeCell ref="B98:D98"/>
    <mergeCell ref="F98:G98"/>
    <mergeCell ref="D91:D92"/>
    <mergeCell ref="F91:G91"/>
    <mergeCell ref="O91:P91"/>
    <mergeCell ref="F92:G92"/>
    <mergeCell ref="F93:G93"/>
    <mergeCell ref="F94:G94"/>
    <mergeCell ref="O89:P89"/>
    <mergeCell ref="F90:G90"/>
    <mergeCell ref="I82:I83"/>
    <mergeCell ref="F84:G84"/>
    <mergeCell ref="D85:D86"/>
    <mergeCell ref="F85:G85"/>
    <mergeCell ref="O85:P85"/>
    <mergeCell ref="F86:G86"/>
    <mergeCell ref="F95:G95"/>
    <mergeCell ref="I77:I78"/>
    <mergeCell ref="E79:E80"/>
    <mergeCell ref="F79:G80"/>
    <mergeCell ref="H79:H80"/>
    <mergeCell ref="I79:I80"/>
    <mergeCell ref="F81:G81"/>
    <mergeCell ref="C82:C95"/>
    <mergeCell ref="D82:D84"/>
    <mergeCell ref="E82:E83"/>
    <mergeCell ref="F82:G83"/>
    <mergeCell ref="H82:H83"/>
    <mergeCell ref="D87:D88"/>
    <mergeCell ref="F87:G87"/>
    <mergeCell ref="F88:G88"/>
    <mergeCell ref="D89:D90"/>
    <mergeCell ref="F89:G89"/>
    <mergeCell ref="F70:G70"/>
    <mergeCell ref="F71:G71"/>
    <mergeCell ref="F72:G72"/>
    <mergeCell ref="K72:L72"/>
    <mergeCell ref="O72:P72"/>
    <mergeCell ref="B66:B97"/>
    <mergeCell ref="F66:G66"/>
    <mergeCell ref="C67:C68"/>
    <mergeCell ref="F67:G67"/>
    <mergeCell ref="F68:G68"/>
    <mergeCell ref="C69:C70"/>
    <mergeCell ref="F69:G69"/>
    <mergeCell ref="C73:C81"/>
    <mergeCell ref="D73:D74"/>
    <mergeCell ref="F73:G73"/>
    <mergeCell ref="F74:G74"/>
    <mergeCell ref="O74:P74"/>
    <mergeCell ref="D75:D81"/>
    <mergeCell ref="F75:G75"/>
    <mergeCell ref="F76:G76"/>
    <mergeCell ref="O76:P76"/>
    <mergeCell ref="E77:E78"/>
    <mergeCell ref="F77:G78"/>
    <mergeCell ref="H77:H78"/>
    <mergeCell ref="D57:D58"/>
    <mergeCell ref="E57:E58"/>
    <mergeCell ref="F57:G58"/>
    <mergeCell ref="H57:H58"/>
    <mergeCell ref="D59:D61"/>
    <mergeCell ref="E59:E61"/>
    <mergeCell ref="F59:G61"/>
    <mergeCell ref="H59:H61"/>
    <mergeCell ref="O69:P69"/>
    <mergeCell ref="C57:C62"/>
    <mergeCell ref="B172:C172"/>
    <mergeCell ref="S35:T35"/>
    <mergeCell ref="B36:C36"/>
    <mergeCell ref="B37:C37"/>
    <mergeCell ref="B38:C38"/>
    <mergeCell ref="B40:C40"/>
    <mergeCell ref="D52:D53"/>
    <mergeCell ref="E52:E53"/>
    <mergeCell ref="F52:G53"/>
    <mergeCell ref="H52:H53"/>
    <mergeCell ref="I52:I53"/>
    <mergeCell ref="O52:P52"/>
    <mergeCell ref="I59:I61"/>
    <mergeCell ref="K60:L61"/>
    <mergeCell ref="F62:G62"/>
    <mergeCell ref="I57:I58"/>
    <mergeCell ref="E54:E56"/>
    <mergeCell ref="F54:G56"/>
    <mergeCell ref="H54:H56"/>
    <mergeCell ref="I54:I56"/>
    <mergeCell ref="K54:L54"/>
    <mergeCell ref="F63:G63"/>
    <mergeCell ref="F64:G64"/>
    <mergeCell ref="B173:C173"/>
    <mergeCell ref="B31:C31"/>
    <mergeCell ref="B32:C32"/>
    <mergeCell ref="B33:C33"/>
    <mergeCell ref="B34:C34"/>
    <mergeCell ref="B35:C35"/>
    <mergeCell ref="Q35:R35"/>
    <mergeCell ref="B43:C44"/>
    <mergeCell ref="F45:G45"/>
    <mergeCell ref="B46:B65"/>
    <mergeCell ref="C46:C47"/>
    <mergeCell ref="F46:G46"/>
    <mergeCell ref="F47:G47"/>
    <mergeCell ref="C48:C50"/>
    <mergeCell ref="F48:G48"/>
    <mergeCell ref="F49:G49"/>
    <mergeCell ref="C54:C56"/>
    <mergeCell ref="D54:D56"/>
    <mergeCell ref="O49:O51"/>
    <mergeCell ref="R49:R50"/>
    <mergeCell ref="F50:G50"/>
    <mergeCell ref="F51:G51"/>
    <mergeCell ref="C65:D65"/>
    <mergeCell ref="F65:G65"/>
  </mergeCells>
  <phoneticPr fontId="2"/>
  <hyperlinks>
    <hyperlink ref="I2" location="汚泥処理対策シート!A1" display="クリックで対策シートに戻る" xr:uid="{02CE7CF5-84F0-41B6-AC12-DBD25CB527B1}"/>
  </hyperlinks>
  <pageMargins left="0.70866141732283472" right="0.70866141732283472" top="0.74803149606299213" bottom="0.74803149606299213" header="0.31496062992125984" footer="0.31496062992125984"/>
  <pageSetup paperSize="9" scale="3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04C20-EDC4-4379-A5CC-899F3A673D1A}">
  <sheetPr>
    <tabColor theme="5" tint="-0.499984740745262"/>
  </sheetPr>
  <dimension ref="B2:V131"/>
  <sheetViews>
    <sheetView zoomScale="80" zoomScaleNormal="80" zoomScaleSheetLayoutView="85" workbookViewId="0"/>
  </sheetViews>
  <sheetFormatPr defaultColWidth="9" defaultRowHeight="18" x14ac:dyDescent="0.45"/>
  <cols>
    <col min="1" max="1" width="1.59765625" style="146" customWidth="1"/>
    <col min="2" max="3" width="11" style="146" customWidth="1"/>
    <col min="4" max="4" width="19.19921875" style="146" bestFit="1" customWidth="1"/>
    <col min="5" max="5" width="38.3984375" style="146" customWidth="1"/>
    <col min="6" max="6" width="12.3984375" style="146" customWidth="1"/>
    <col min="7" max="7" width="27.59765625" style="146" customWidth="1"/>
    <col min="8" max="8" width="24.59765625" style="146" customWidth="1"/>
    <col min="9" max="9" width="22.5" style="146" bestFit="1" customWidth="1"/>
    <col min="10" max="10" width="37.69921875" style="146" bestFit="1" customWidth="1"/>
    <col min="11" max="11" width="3.59765625" style="146" customWidth="1"/>
    <col min="12" max="12" width="13" style="146" bestFit="1" customWidth="1"/>
    <col min="13" max="13" width="12.19921875" style="146" bestFit="1" customWidth="1"/>
    <col min="14" max="16" width="1.59765625" style="146" customWidth="1"/>
    <col min="17" max="18" width="19.19921875" style="146" customWidth="1"/>
    <col min="19" max="19" width="8.59765625" style="146" customWidth="1"/>
    <col min="20" max="20" width="21.3984375" style="146" customWidth="1"/>
    <col min="21" max="21" width="11.59765625" style="146" customWidth="1"/>
    <col min="22" max="16384" width="9" style="146"/>
  </cols>
  <sheetData>
    <row r="2" spans="3:10" customFormat="1" ht="22.2" x14ac:dyDescent="0.45">
      <c r="C2" s="28" t="s">
        <v>1328</v>
      </c>
      <c r="J2" s="242" t="s">
        <v>1145</v>
      </c>
    </row>
    <row r="3" spans="3:10" customFormat="1" x14ac:dyDescent="0.45">
      <c r="C3" s="32" t="s">
        <v>94</v>
      </c>
      <c r="D3" s="33"/>
      <c r="E3" s="33"/>
      <c r="F3" s="33"/>
      <c r="H3" s="18"/>
      <c r="I3" t="s">
        <v>79</v>
      </c>
    </row>
    <row r="4" spans="3:10" customFormat="1" x14ac:dyDescent="0.45">
      <c r="C4" s="310" t="s">
        <v>97</v>
      </c>
      <c r="D4" s="311"/>
      <c r="E4" s="311"/>
      <c r="F4" s="311"/>
      <c r="H4" s="7"/>
      <c r="I4" t="s">
        <v>80</v>
      </c>
    </row>
    <row r="5" spans="3:10" customFormat="1" x14ac:dyDescent="0.45">
      <c r="H5" s="332"/>
      <c r="I5" t="s">
        <v>1243</v>
      </c>
    </row>
    <row r="6" spans="3:10" customFormat="1" x14ac:dyDescent="0.45">
      <c r="H6" s="11"/>
      <c r="I6" t="s">
        <v>81</v>
      </c>
    </row>
    <row r="7" spans="3:10" customFormat="1" x14ac:dyDescent="0.45">
      <c r="C7" s="31" t="s">
        <v>755</v>
      </c>
      <c r="D7" s="4"/>
      <c r="H7" s="154"/>
      <c r="I7" t="s">
        <v>506</v>
      </c>
    </row>
    <row r="8" spans="3:10" x14ac:dyDescent="0.45">
      <c r="C8" s="31" t="s">
        <v>756</v>
      </c>
      <c r="I8" s="31" t="s">
        <v>876</v>
      </c>
      <c r="J8" s="31"/>
    </row>
    <row r="9" spans="3:10" x14ac:dyDescent="0.45">
      <c r="C9" s="31" t="s">
        <v>1272</v>
      </c>
      <c r="I9" s="31"/>
      <c r="J9" s="31"/>
    </row>
    <row r="10" spans="3:10" x14ac:dyDescent="0.45">
      <c r="C10" s="4" t="s">
        <v>1322</v>
      </c>
      <c r="I10" s="31"/>
      <c r="J10" s="31"/>
    </row>
    <row r="11" spans="3:10" x14ac:dyDescent="0.45">
      <c r="C11" s="31"/>
      <c r="J11" s="31"/>
    </row>
    <row r="12" spans="3:10" x14ac:dyDescent="0.45">
      <c r="C12" s="31" t="s">
        <v>509</v>
      </c>
      <c r="J12" s="31"/>
    </row>
    <row r="30" spans="3:21" ht="32.4" x14ac:dyDescent="0.45">
      <c r="C30" s="86" t="s">
        <v>230</v>
      </c>
      <c r="E30" s="87"/>
    </row>
    <row r="31" spans="3:21" x14ac:dyDescent="0.45">
      <c r="C31" s="407" t="s">
        <v>760</v>
      </c>
      <c r="D31" s="407"/>
      <c r="E31" s="149"/>
      <c r="I31" s="94"/>
      <c r="J31" s="94"/>
    </row>
    <row r="32" spans="3:21" x14ac:dyDescent="0.45">
      <c r="C32" s="407" t="s">
        <v>761</v>
      </c>
      <c r="D32" s="407"/>
      <c r="E32" s="149"/>
      <c r="G32" s="97"/>
      <c r="H32" s="94"/>
      <c r="I32" s="94"/>
      <c r="J32" s="94"/>
      <c r="Q32" s="16"/>
      <c r="R32" s="415" t="s">
        <v>522</v>
      </c>
      <c r="S32" s="417"/>
      <c r="T32" s="415" t="s">
        <v>523</v>
      </c>
      <c r="U32" s="417"/>
    </row>
    <row r="33" spans="3:22" ht="19.8" x14ac:dyDescent="0.45">
      <c r="C33" s="407" t="s">
        <v>762</v>
      </c>
      <c r="D33" s="407"/>
      <c r="E33" s="149"/>
      <c r="G33" s="97"/>
      <c r="H33" s="94"/>
      <c r="I33" s="96"/>
      <c r="J33" s="96"/>
      <c r="Q33" s="16" t="s">
        <v>244</v>
      </c>
      <c r="R33" s="335">
        <v>44.8</v>
      </c>
      <c r="S33" s="16" t="s">
        <v>245</v>
      </c>
      <c r="T33" s="336">
        <v>2.23</v>
      </c>
      <c r="U33" s="92" t="s">
        <v>246</v>
      </c>
      <c r="V33" s="157"/>
    </row>
    <row r="34" spans="3:22" ht="19.8" x14ac:dyDescent="0.45">
      <c r="C34" s="407" t="s">
        <v>1275</v>
      </c>
      <c r="D34" s="407"/>
      <c r="E34" s="149"/>
      <c r="G34" s="195" t="s">
        <v>239</v>
      </c>
      <c r="H34" s="150"/>
      <c r="I34" s="94"/>
      <c r="J34" s="94"/>
      <c r="Q34" s="16" t="s">
        <v>250</v>
      </c>
      <c r="R34" s="335">
        <v>0</v>
      </c>
      <c r="S34" s="16" t="s">
        <v>245</v>
      </c>
      <c r="T34" s="337">
        <v>0</v>
      </c>
      <c r="U34" s="140" t="s">
        <v>251</v>
      </c>
    </row>
    <row r="35" spans="3:22" ht="19.8" x14ac:dyDescent="0.45">
      <c r="C35" s="407" t="s">
        <v>763</v>
      </c>
      <c r="D35" s="407"/>
      <c r="E35" s="149"/>
      <c r="G35" s="153" t="s">
        <v>258</v>
      </c>
      <c r="H35" s="150"/>
      <c r="I35" s="98" t="s">
        <v>259</v>
      </c>
      <c r="J35" s="197" t="s">
        <v>764</v>
      </c>
      <c r="K35" s="722" t="str">
        <f>IF($H$35="","",VLOOKUP($H$35,$Q$33:$S$36,2,FALSE))</f>
        <v/>
      </c>
      <c r="L35" s="723" t="str">
        <f t="shared" ref="L35" si="0">IF($H$35="","",VLOOKUP(K36,$Q$33:$S$35,2,FALSE))</f>
        <v/>
      </c>
      <c r="M35" s="198" t="str">
        <f>IF($H$35="","",VLOOKUP($H$35,$Q$33:$S$36,3,FALSE))</f>
        <v/>
      </c>
      <c r="P35" s="100"/>
      <c r="Q35" s="16" t="s">
        <v>253</v>
      </c>
      <c r="R35" s="335">
        <v>36.700000000000003</v>
      </c>
      <c r="S35" s="16" t="s">
        <v>254</v>
      </c>
      <c r="T35" s="337">
        <v>2.4900000000000002</v>
      </c>
      <c r="U35" s="140" t="s">
        <v>255</v>
      </c>
    </row>
    <row r="36" spans="3:22" ht="19.8" x14ac:dyDescent="0.45">
      <c r="C36" s="407" t="s">
        <v>765</v>
      </c>
      <c r="D36" s="407"/>
      <c r="E36" s="393">
        <v>2500</v>
      </c>
      <c r="G36" s="153" t="s">
        <v>766</v>
      </c>
      <c r="H36" s="150"/>
      <c r="I36" s="99"/>
      <c r="J36" s="197" t="s">
        <v>767</v>
      </c>
      <c r="K36" s="722" t="str">
        <f>IF($H$35="","",VLOOKUP($H$35,$Q$33:$U$36,4,FALSE))</f>
        <v/>
      </c>
      <c r="L36" s="723" t="str">
        <f t="shared" ref="L36" si="1">IF($H$35="","",VLOOKUP(K35,$Q$33:$U$35,4,FALSE))</f>
        <v/>
      </c>
      <c r="M36" s="198" t="str">
        <f>IF($H$35="","",VLOOKUP($H$35,$Q$33:$U$36,5,FALSE))</f>
        <v/>
      </c>
      <c r="Q36" s="16" t="s">
        <v>261</v>
      </c>
      <c r="R36" s="335">
        <v>39.1</v>
      </c>
      <c r="S36" s="16" t="s">
        <v>254</v>
      </c>
      <c r="T36" s="337">
        <v>2.71</v>
      </c>
      <c r="U36" s="140" t="s">
        <v>255</v>
      </c>
    </row>
    <row r="37" spans="3:22" x14ac:dyDescent="0.45">
      <c r="C37" s="394" t="s">
        <v>1340</v>
      </c>
      <c r="D37"/>
      <c r="G37" s="136" t="s">
        <v>768</v>
      </c>
      <c r="H37" s="200"/>
      <c r="I37" s="136"/>
      <c r="J37" s="136"/>
      <c r="Q37" s="16" t="s">
        <v>399</v>
      </c>
      <c r="R37" s="335"/>
      <c r="S37" s="16"/>
      <c r="T37" s="335">
        <v>0.25</v>
      </c>
      <c r="U37" s="16" t="s">
        <v>92</v>
      </c>
    </row>
    <row r="38" spans="3:22" x14ac:dyDescent="0.45">
      <c r="G38" s="100"/>
    </row>
    <row r="39" spans="3:22" ht="32.4" hidden="1" x14ac:dyDescent="0.45">
      <c r="C39" s="86" t="s">
        <v>769</v>
      </c>
      <c r="P39" s="86"/>
    </row>
    <row r="40" spans="3:22" hidden="1" x14ac:dyDescent="0.45">
      <c r="C40" s="16" t="s">
        <v>276</v>
      </c>
      <c r="D40" s="16" t="s">
        <v>277</v>
      </c>
      <c r="E40" s="16" t="s">
        <v>27</v>
      </c>
      <c r="F40" s="16" t="s">
        <v>28</v>
      </c>
      <c r="G40" s="415" t="s">
        <v>278</v>
      </c>
      <c r="H40" s="417"/>
      <c r="I40" s="16" t="s">
        <v>532</v>
      </c>
      <c r="J40" s="16" t="s">
        <v>280</v>
      </c>
    </row>
    <row r="41" spans="3:22" ht="39" hidden="1" customHeight="1" x14ac:dyDescent="0.45">
      <c r="C41" s="479" t="s">
        <v>131</v>
      </c>
      <c r="D41" s="479" t="s">
        <v>295</v>
      </c>
      <c r="E41" s="109" t="s">
        <v>770</v>
      </c>
      <c r="F41" s="16" t="s">
        <v>283</v>
      </c>
      <c r="G41" s="415" t="s">
        <v>771</v>
      </c>
      <c r="H41" s="417"/>
      <c r="I41" s="34">
        <f>2.426*E31^0.0094*100</f>
        <v>0</v>
      </c>
      <c r="J41" s="1" t="s">
        <v>772</v>
      </c>
      <c r="R41" s="107"/>
    </row>
    <row r="42" spans="3:22" ht="19.5" hidden="1" customHeight="1" x14ac:dyDescent="0.45">
      <c r="C42" s="480"/>
      <c r="D42" s="480"/>
      <c r="E42" s="10" t="s">
        <v>286</v>
      </c>
      <c r="F42" s="16" t="s">
        <v>283</v>
      </c>
      <c r="G42" s="415" t="s">
        <v>773</v>
      </c>
      <c r="H42" s="417"/>
      <c r="I42" s="34">
        <f>1.888*E31^0.597*100</f>
        <v>0</v>
      </c>
      <c r="J42" s="1" t="s">
        <v>774</v>
      </c>
      <c r="P42" s="475"/>
      <c r="R42" s="107"/>
      <c r="S42" s="478"/>
    </row>
    <row r="43" spans="3:22" ht="19.5" hidden="1" customHeight="1" x14ac:dyDescent="0.45">
      <c r="C43" s="480"/>
      <c r="D43" s="480"/>
      <c r="E43" s="10" t="s">
        <v>775</v>
      </c>
      <c r="F43" s="16" t="s">
        <v>283</v>
      </c>
      <c r="G43" s="415" t="s">
        <v>776</v>
      </c>
      <c r="H43" s="417"/>
      <c r="I43" s="34">
        <f>0.726*E31^0.539*100</f>
        <v>0</v>
      </c>
      <c r="J43" s="1" t="s">
        <v>696</v>
      </c>
      <c r="P43" s="475"/>
      <c r="R43" s="107"/>
      <c r="S43" s="478"/>
    </row>
    <row r="44" spans="3:22" ht="19.5" hidden="1" customHeight="1" x14ac:dyDescent="0.45">
      <c r="C44" s="480"/>
      <c r="D44" s="480"/>
      <c r="E44" s="16" t="s">
        <v>308</v>
      </c>
      <c r="F44" s="16" t="s">
        <v>283</v>
      </c>
      <c r="G44" s="415" t="s">
        <v>42</v>
      </c>
      <c r="H44" s="417"/>
      <c r="I44" s="34">
        <f>+I41+I42+I43</f>
        <v>0</v>
      </c>
      <c r="J44" s="1" t="s">
        <v>777</v>
      </c>
      <c r="P44" s="475"/>
      <c r="R44" s="107"/>
    </row>
    <row r="45" spans="3:22" ht="19.5" hidden="1" customHeight="1" x14ac:dyDescent="0.45">
      <c r="C45" s="480"/>
      <c r="D45" s="480"/>
      <c r="E45" s="420" t="s">
        <v>310</v>
      </c>
      <c r="F45" s="420" t="s">
        <v>292</v>
      </c>
      <c r="G45" s="489" t="s">
        <v>311</v>
      </c>
      <c r="H45" s="490"/>
      <c r="I45" s="573">
        <f>I41*M45/100*(1+M45/100)^M48/((1+M45/100)^M48-1)+I42*M45/100*(1+M45/100)^M49/((1+M45/100)^M49-1)+I43*M45/100*(1+M45/100)^M51/((1+M45/100)^M51-1)</f>
        <v>0</v>
      </c>
      <c r="J45" s="501" t="s">
        <v>778</v>
      </c>
      <c r="L45" s="16" t="s">
        <v>313</v>
      </c>
      <c r="M45" s="89">
        <v>2.2999999999999998</v>
      </c>
      <c r="P45" s="475"/>
      <c r="Q45" s="475"/>
      <c r="R45" s="114"/>
    </row>
    <row r="46" spans="3:22" ht="19.5" hidden="1" customHeight="1" x14ac:dyDescent="0.45">
      <c r="C46" s="480"/>
      <c r="D46" s="480"/>
      <c r="E46" s="419"/>
      <c r="F46" s="419"/>
      <c r="G46" s="491"/>
      <c r="H46" s="492"/>
      <c r="I46" s="574"/>
      <c r="J46" s="502"/>
      <c r="L46" s="165"/>
      <c r="R46" s="114"/>
    </row>
    <row r="47" spans="3:22" ht="19.5" hidden="1" customHeight="1" x14ac:dyDescent="0.45">
      <c r="C47" s="480"/>
      <c r="D47" s="480"/>
      <c r="E47" s="501" t="s">
        <v>552</v>
      </c>
      <c r="F47" s="420" t="s">
        <v>292</v>
      </c>
      <c r="G47" s="696" t="s">
        <v>779</v>
      </c>
      <c r="H47" s="697"/>
      <c r="I47" s="581">
        <f>0.287*E33^0.673</f>
        <v>0</v>
      </c>
      <c r="J47" s="479" t="s">
        <v>780</v>
      </c>
      <c r="L47" s="423" t="s">
        <v>314</v>
      </c>
      <c r="M47" s="423"/>
      <c r="R47" s="114"/>
    </row>
    <row r="48" spans="3:22" ht="19.5" hidden="1" customHeight="1" x14ac:dyDescent="0.45">
      <c r="C48" s="480"/>
      <c r="D48" s="480"/>
      <c r="E48" s="502"/>
      <c r="F48" s="419"/>
      <c r="G48" s="698"/>
      <c r="H48" s="699"/>
      <c r="I48" s="583"/>
      <c r="J48" s="481"/>
      <c r="L48" s="16" t="s">
        <v>317</v>
      </c>
      <c r="M48" s="89">
        <v>45</v>
      </c>
    </row>
    <row r="49" spans="3:18" ht="9.75" hidden="1" customHeight="1" x14ac:dyDescent="0.45">
      <c r="C49" s="480"/>
      <c r="D49" s="480"/>
      <c r="E49" s="720" t="s">
        <v>323</v>
      </c>
      <c r="F49" s="420" t="s">
        <v>292</v>
      </c>
      <c r="G49" s="485" t="s">
        <v>42</v>
      </c>
      <c r="H49" s="486"/>
      <c r="I49" s="581">
        <f>+I45+I47</f>
        <v>0</v>
      </c>
      <c r="J49" s="479" t="s">
        <v>781</v>
      </c>
      <c r="L49" s="420" t="s">
        <v>782</v>
      </c>
      <c r="M49" s="718">
        <v>15</v>
      </c>
    </row>
    <row r="50" spans="3:18" ht="9.75" hidden="1" customHeight="1" x14ac:dyDescent="0.45">
      <c r="C50" s="481"/>
      <c r="D50" s="481"/>
      <c r="E50" s="721"/>
      <c r="F50" s="419"/>
      <c r="G50" s="487"/>
      <c r="H50" s="488"/>
      <c r="I50" s="583"/>
      <c r="J50" s="481"/>
      <c r="L50" s="419"/>
      <c r="M50" s="719"/>
      <c r="P50" s="86"/>
    </row>
    <row r="51" spans="3:18" ht="19.5" hidden="1" customHeight="1" x14ac:dyDescent="0.45">
      <c r="C51" s="479" t="s">
        <v>326</v>
      </c>
      <c r="D51" s="684" t="s">
        <v>783</v>
      </c>
      <c r="E51" s="10" t="s">
        <v>784</v>
      </c>
      <c r="F51" s="16" t="s">
        <v>283</v>
      </c>
      <c r="G51" s="505" t="s">
        <v>785</v>
      </c>
      <c r="H51" s="506"/>
      <c r="I51" s="155">
        <f>0.134*E32+6.58</f>
        <v>6.58</v>
      </c>
      <c r="J51" s="1" t="s">
        <v>786</v>
      </c>
      <c r="L51" s="16" t="s">
        <v>325</v>
      </c>
      <c r="M51" s="89">
        <v>15</v>
      </c>
    </row>
    <row r="52" spans="3:18" ht="19.5" hidden="1" customHeight="1" x14ac:dyDescent="0.45">
      <c r="C52" s="480"/>
      <c r="D52" s="684"/>
      <c r="E52" s="10" t="s">
        <v>371</v>
      </c>
      <c r="F52" s="16" t="s">
        <v>283</v>
      </c>
      <c r="G52" s="505" t="s">
        <v>787</v>
      </c>
      <c r="H52" s="506"/>
      <c r="I52" s="34">
        <f>2.42*E32+340</f>
        <v>340</v>
      </c>
      <c r="J52" s="1" t="s">
        <v>788</v>
      </c>
      <c r="R52" s="107"/>
    </row>
    <row r="53" spans="3:18" ht="19.5" hidden="1" customHeight="1" x14ac:dyDescent="0.45">
      <c r="C53" s="480"/>
      <c r="D53" s="684"/>
      <c r="E53" s="10" t="s">
        <v>789</v>
      </c>
      <c r="F53" s="16" t="s">
        <v>283</v>
      </c>
      <c r="G53" s="505" t="s">
        <v>790</v>
      </c>
      <c r="H53" s="506"/>
      <c r="I53" s="201">
        <f>0.0142*E32+0.791</f>
        <v>0.79100000000000004</v>
      </c>
      <c r="J53" s="1" t="s">
        <v>791</v>
      </c>
      <c r="R53" s="107"/>
    </row>
    <row r="54" spans="3:18" ht="19.5" hidden="1" customHeight="1" x14ac:dyDescent="0.45">
      <c r="C54" s="480"/>
      <c r="D54" s="684"/>
      <c r="E54" s="10" t="s">
        <v>325</v>
      </c>
      <c r="F54" s="16" t="s">
        <v>283</v>
      </c>
      <c r="G54" s="505" t="s">
        <v>792</v>
      </c>
      <c r="H54" s="506"/>
      <c r="I54" s="34">
        <f>0.311*E32+53.3</f>
        <v>53.3</v>
      </c>
      <c r="J54" s="1" t="s">
        <v>793</v>
      </c>
      <c r="P54" s="475"/>
      <c r="Q54" s="475"/>
      <c r="R54" s="114"/>
    </row>
    <row r="55" spans="3:18" ht="19.5" hidden="1" customHeight="1" x14ac:dyDescent="0.45">
      <c r="C55" s="480"/>
      <c r="D55" s="684"/>
      <c r="E55" s="16" t="s">
        <v>308</v>
      </c>
      <c r="F55" s="16" t="s">
        <v>283</v>
      </c>
      <c r="G55" s="415" t="s">
        <v>42</v>
      </c>
      <c r="H55" s="417"/>
      <c r="I55" s="34">
        <f>+I51+I52+I53+I54</f>
        <v>400.67099999999999</v>
      </c>
      <c r="J55" s="1" t="s">
        <v>794</v>
      </c>
      <c r="P55" s="475"/>
      <c r="Q55" s="475"/>
      <c r="R55" s="107"/>
    </row>
    <row r="56" spans="3:18" ht="19.5" hidden="1" customHeight="1" x14ac:dyDescent="0.45">
      <c r="C56" s="480"/>
      <c r="D56" s="684"/>
      <c r="E56" s="420" t="s">
        <v>310</v>
      </c>
      <c r="F56" s="420" t="s">
        <v>292</v>
      </c>
      <c r="G56" s="485" t="s">
        <v>382</v>
      </c>
      <c r="H56" s="486"/>
      <c r="I56" s="716">
        <f>I51*M56/100*(1+M56/100)^M59/((1+M56/100)^M59-1)+I52*M56/100*(1+M56/100)^M60/((1+M56/100)^M60-1)+I53*M56/100*(1+M56/100)^M61/((1+M56/100)^M61-1)+I54*M56/100*(1+M56/100)^M63/((1+M56/100)^M63-1)</f>
        <v>31.599166920115586</v>
      </c>
      <c r="J56" s="501" t="s">
        <v>795</v>
      </c>
      <c r="L56" s="16" t="s">
        <v>313</v>
      </c>
      <c r="M56" s="89">
        <v>2.2999999999999998</v>
      </c>
      <c r="R56" s="107"/>
    </row>
    <row r="57" spans="3:18" ht="19.5" hidden="1" customHeight="1" x14ac:dyDescent="0.45">
      <c r="C57" s="480"/>
      <c r="D57" s="684"/>
      <c r="E57" s="419"/>
      <c r="F57" s="419"/>
      <c r="G57" s="487"/>
      <c r="H57" s="488"/>
      <c r="I57" s="717"/>
      <c r="J57" s="502"/>
      <c r="L57" s="165"/>
      <c r="P57" s="475"/>
      <c r="Q57" s="475"/>
      <c r="R57" s="125"/>
    </row>
    <row r="58" spans="3:18" ht="19.5" hidden="1" customHeight="1" x14ac:dyDescent="0.45">
      <c r="C58" s="480"/>
      <c r="D58" s="684"/>
      <c r="E58" s="479" t="s">
        <v>588</v>
      </c>
      <c r="F58" s="418" t="s">
        <v>796</v>
      </c>
      <c r="G58" s="696" t="s">
        <v>797</v>
      </c>
      <c r="H58" s="697"/>
      <c r="I58" s="716">
        <f>0.1186*E31+65.1</f>
        <v>65.099999999999994</v>
      </c>
      <c r="J58" s="479" t="s">
        <v>798</v>
      </c>
      <c r="L58" s="423" t="s">
        <v>314</v>
      </c>
      <c r="M58" s="423"/>
      <c r="R58" s="125"/>
    </row>
    <row r="59" spans="3:18" ht="19.5" hidden="1" customHeight="1" x14ac:dyDescent="0.45">
      <c r="C59" s="480"/>
      <c r="D59" s="684"/>
      <c r="E59" s="480"/>
      <c r="F59" s="591"/>
      <c r="G59" s="698"/>
      <c r="H59" s="699"/>
      <c r="I59" s="717"/>
      <c r="J59" s="481"/>
      <c r="L59" s="16" t="s">
        <v>784</v>
      </c>
      <c r="M59" s="89">
        <v>45</v>
      </c>
      <c r="P59" s="475"/>
      <c r="Q59" s="475"/>
      <c r="R59" s="114"/>
    </row>
    <row r="60" spans="3:18" ht="19.5" hidden="1" customHeight="1" x14ac:dyDescent="0.45">
      <c r="C60" s="480"/>
      <c r="D60" s="684"/>
      <c r="E60" s="480"/>
      <c r="F60" s="420" t="s">
        <v>292</v>
      </c>
      <c r="G60" s="514" t="s">
        <v>799</v>
      </c>
      <c r="H60" s="515"/>
      <c r="I60" s="694">
        <f>I58*M66*24*15*10^-6</f>
        <v>0</v>
      </c>
      <c r="J60" s="479" t="s">
        <v>387</v>
      </c>
      <c r="L60" s="16" t="s">
        <v>371</v>
      </c>
      <c r="M60" s="89">
        <v>15</v>
      </c>
      <c r="R60" s="114"/>
    </row>
    <row r="61" spans="3:18" ht="19.5" hidden="1" customHeight="1" x14ac:dyDescent="0.45">
      <c r="C61" s="480"/>
      <c r="D61" s="684"/>
      <c r="E61" s="481"/>
      <c r="F61" s="419"/>
      <c r="G61" s="516"/>
      <c r="H61" s="517"/>
      <c r="I61" s="695"/>
      <c r="J61" s="481"/>
      <c r="L61" s="418" t="s">
        <v>800</v>
      </c>
      <c r="M61" s="718">
        <v>15</v>
      </c>
      <c r="R61" s="114"/>
    </row>
    <row r="62" spans="3:18" ht="19.5" hidden="1" customHeight="1" x14ac:dyDescent="0.45">
      <c r="C62" s="480"/>
      <c r="D62" s="684"/>
      <c r="E62" s="480" t="s">
        <v>612</v>
      </c>
      <c r="F62" s="418" t="s">
        <v>801</v>
      </c>
      <c r="G62" s="703" t="s">
        <v>802</v>
      </c>
      <c r="H62" s="704"/>
      <c r="I62" s="709" t="e">
        <f>(E32*10^3*1/24*(1-E34)*E35-E36*E32*10^3*1/24*E34)*10^-6+(H36*K35*10^-3)</f>
        <v>#VALUE!</v>
      </c>
      <c r="J62" s="712" t="s">
        <v>803</v>
      </c>
      <c r="L62" s="591"/>
      <c r="M62" s="719"/>
      <c r="R62" s="114"/>
    </row>
    <row r="63" spans="3:18" ht="19.5" hidden="1" customHeight="1" x14ac:dyDescent="0.45">
      <c r="C63" s="480"/>
      <c r="D63" s="684"/>
      <c r="E63" s="480"/>
      <c r="F63" s="702"/>
      <c r="G63" s="705"/>
      <c r="H63" s="706"/>
      <c r="I63" s="710"/>
      <c r="J63" s="713"/>
      <c r="L63" s="17" t="s">
        <v>325</v>
      </c>
      <c r="M63" s="89">
        <v>15</v>
      </c>
      <c r="R63" s="114"/>
    </row>
    <row r="64" spans="3:18" ht="56.25" hidden="1" customHeight="1" x14ac:dyDescent="0.45">
      <c r="C64" s="480"/>
      <c r="D64" s="684"/>
      <c r="E64" s="480"/>
      <c r="F64" s="591"/>
      <c r="G64" s="707"/>
      <c r="H64" s="708"/>
      <c r="I64" s="711"/>
      <c r="J64" s="714"/>
      <c r="L64" s="102"/>
      <c r="M64" s="102"/>
      <c r="R64" s="114"/>
    </row>
    <row r="65" spans="3:17" ht="39" hidden="1" customHeight="1" x14ac:dyDescent="0.45">
      <c r="C65" s="480"/>
      <c r="D65" s="684"/>
      <c r="E65" s="480"/>
      <c r="F65" s="17" t="s">
        <v>804</v>
      </c>
      <c r="G65" s="505" t="s">
        <v>805</v>
      </c>
      <c r="H65" s="506"/>
      <c r="I65" s="34" t="e">
        <f>33.1*I62-102</f>
        <v>#VALUE!</v>
      </c>
      <c r="J65" s="1"/>
      <c r="P65" s="86"/>
    </row>
    <row r="66" spans="3:17" ht="19.5" hidden="1" customHeight="1" x14ac:dyDescent="0.45">
      <c r="C66" s="480"/>
      <c r="D66" s="684"/>
      <c r="E66" s="480"/>
      <c r="F66" s="418" t="s">
        <v>806</v>
      </c>
      <c r="G66" s="696" t="s">
        <v>807</v>
      </c>
      <c r="H66" s="697"/>
      <c r="I66" s="581" t="e">
        <f>I65*M66*24*10^-3</f>
        <v>#VALUE!</v>
      </c>
      <c r="J66" s="598" t="s">
        <v>808</v>
      </c>
      <c r="L66" s="202" t="s">
        <v>515</v>
      </c>
      <c r="M66" s="16">
        <f>H34</f>
        <v>0</v>
      </c>
      <c r="P66" s="86"/>
    </row>
    <row r="67" spans="3:17" ht="19.5" hidden="1" customHeight="1" x14ac:dyDescent="0.45">
      <c r="C67" s="480"/>
      <c r="D67" s="684"/>
      <c r="E67" s="480"/>
      <c r="F67" s="591"/>
      <c r="G67" s="698"/>
      <c r="H67" s="699"/>
      <c r="I67" s="583"/>
      <c r="J67" s="715"/>
      <c r="L67" s="102"/>
      <c r="M67" s="102"/>
      <c r="P67" s="475"/>
      <c r="Q67" s="475"/>
    </row>
    <row r="68" spans="3:17" ht="19.5" hidden="1" customHeight="1" x14ac:dyDescent="0.45">
      <c r="C68" s="480"/>
      <c r="D68" s="684"/>
      <c r="E68" s="480"/>
      <c r="F68" s="420" t="s">
        <v>292</v>
      </c>
      <c r="G68" s="696" t="s">
        <v>809</v>
      </c>
      <c r="H68" s="697"/>
      <c r="I68" s="700" t="e">
        <f>-I66*M68*10^-3</f>
        <v>#VALUE!</v>
      </c>
      <c r="J68" s="479" t="s">
        <v>390</v>
      </c>
      <c r="L68" s="202" t="s">
        <v>810</v>
      </c>
      <c r="M68" s="16">
        <f>H32</f>
        <v>0</v>
      </c>
    </row>
    <row r="69" spans="3:17" ht="19.5" hidden="1" customHeight="1" x14ac:dyDescent="0.45">
      <c r="C69" s="480"/>
      <c r="D69" s="684"/>
      <c r="E69" s="481"/>
      <c r="F69" s="419"/>
      <c r="G69" s="698"/>
      <c r="H69" s="699"/>
      <c r="I69" s="701"/>
      <c r="J69" s="481"/>
      <c r="P69" s="475"/>
      <c r="Q69" s="475"/>
    </row>
    <row r="70" spans="3:17" ht="39" hidden="1" customHeight="1" x14ac:dyDescent="0.45">
      <c r="C70" s="480"/>
      <c r="D70" s="684"/>
      <c r="E70" s="479" t="s">
        <v>624</v>
      </c>
      <c r="F70" s="17" t="s">
        <v>811</v>
      </c>
      <c r="G70" s="505" t="s">
        <v>812</v>
      </c>
      <c r="H70" s="506"/>
      <c r="I70" s="201">
        <f>0.015*E31+0.737</f>
        <v>0.73699999999999999</v>
      </c>
      <c r="J70" s="1" t="s">
        <v>798</v>
      </c>
      <c r="P70" s="475"/>
      <c r="Q70" s="475"/>
    </row>
    <row r="71" spans="3:17" ht="19.5" hidden="1" customHeight="1" x14ac:dyDescent="0.45">
      <c r="C71" s="480"/>
      <c r="D71" s="684"/>
      <c r="E71" s="480"/>
      <c r="F71" s="420" t="s">
        <v>292</v>
      </c>
      <c r="G71" s="489" t="s">
        <v>813</v>
      </c>
      <c r="H71" s="490"/>
      <c r="I71" s="692">
        <f>I70*M72*M71*24*10^-6</f>
        <v>0</v>
      </c>
      <c r="J71" s="479" t="s">
        <v>681</v>
      </c>
      <c r="L71" s="202" t="s">
        <v>515</v>
      </c>
      <c r="M71" s="16">
        <f>H34</f>
        <v>0</v>
      </c>
    </row>
    <row r="72" spans="3:17" ht="19.5" hidden="1" customHeight="1" x14ac:dyDescent="0.45">
      <c r="C72" s="480"/>
      <c r="D72" s="684"/>
      <c r="E72" s="481"/>
      <c r="F72" s="419"/>
      <c r="G72" s="491"/>
      <c r="H72" s="492"/>
      <c r="I72" s="693"/>
      <c r="J72" s="481"/>
      <c r="L72" s="16" t="s">
        <v>814</v>
      </c>
      <c r="M72" s="16">
        <f>H33</f>
        <v>0</v>
      </c>
      <c r="P72" s="475"/>
      <c r="Q72" s="475"/>
    </row>
    <row r="73" spans="3:17" ht="39" hidden="1" customHeight="1" x14ac:dyDescent="0.45">
      <c r="C73" s="480"/>
      <c r="D73" s="684"/>
      <c r="E73" s="479" t="s">
        <v>815</v>
      </c>
      <c r="F73" s="17" t="s">
        <v>816</v>
      </c>
      <c r="G73" s="415" t="s">
        <v>817</v>
      </c>
      <c r="H73" s="417"/>
      <c r="I73" s="201">
        <f>0.0274*E31+1.35</f>
        <v>1.35</v>
      </c>
      <c r="J73" s="1" t="s">
        <v>798</v>
      </c>
      <c r="P73" s="475"/>
      <c r="Q73" s="475"/>
    </row>
    <row r="74" spans="3:17" ht="19.5" hidden="1" customHeight="1" x14ac:dyDescent="0.45">
      <c r="C74" s="480"/>
      <c r="D74" s="684"/>
      <c r="E74" s="480"/>
      <c r="F74" s="420" t="s">
        <v>292</v>
      </c>
      <c r="G74" s="489" t="s">
        <v>818</v>
      </c>
      <c r="H74" s="490"/>
      <c r="I74" s="692" t="e">
        <f>I73*M75*M74*10^-6</f>
        <v>#REF!</v>
      </c>
      <c r="J74" s="479" t="s">
        <v>733</v>
      </c>
      <c r="L74" s="202" t="s">
        <v>515</v>
      </c>
      <c r="M74" s="16">
        <f>H34</f>
        <v>0</v>
      </c>
    </row>
    <row r="75" spans="3:17" ht="19.5" hidden="1" customHeight="1" x14ac:dyDescent="0.45">
      <c r="C75" s="480"/>
      <c r="D75" s="684"/>
      <c r="E75" s="481"/>
      <c r="F75" s="419"/>
      <c r="G75" s="491"/>
      <c r="H75" s="492"/>
      <c r="I75" s="693"/>
      <c r="J75" s="481"/>
      <c r="L75" s="16" t="s">
        <v>819</v>
      </c>
      <c r="M75" s="16" t="e">
        <f>#REF!</f>
        <v>#REF!</v>
      </c>
      <c r="P75" s="475"/>
      <c r="Q75" s="475"/>
    </row>
    <row r="76" spans="3:17" ht="19.5" hidden="1" customHeight="1" x14ac:dyDescent="0.45">
      <c r="C76" s="480"/>
      <c r="D76" s="684"/>
      <c r="E76" s="10" t="s">
        <v>634</v>
      </c>
      <c r="F76" s="16" t="s">
        <v>292</v>
      </c>
      <c r="G76" s="415" t="s">
        <v>635</v>
      </c>
      <c r="H76" s="417"/>
      <c r="I76" s="155">
        <v>18</v>
      </c>
      <c r="J76" s="1" t="s">
        <v>820</v>
      </c>
    </row>
    <row r="77" spans="3:17" ht="19.5" hidden="1" customHeight="1" x14ac:dyDescent="0.45">
      <c r="C77" s="480"/>
      <c r="D77" s="684"/>
      <c r="E77" s="16" t="s">
        <v>639</v>
      </c>
      <c r="F77" s="16" t="s">
        <v>292</v>
      </c>
      <c r="G77" s="415" t="s">
        <v>42</v>
      </c>
      <c r="H77" s="417"/>
      <c r="I77" s="155" t="e">
        <f>+I60+I68+I71+I74+I76</f>
        <v>#VALUE!</v>
      </c>
      <c r="J77" s="1" t="s">
        <v>821</v>
      </c>
    </row>
    <row r="78" spans="3:17" ht="39" hidden="1" customHeight="1" x14ac:dyDescent="0.45">
      <c r="C78" s="480"/>
      <c r="D78" s="684"/>
      <c r="E78" s="109" t="s">
        <v>822</v>
      </c>
      <c r="F78" s="16" t="s">
        <v>292</v>
      </c>
      <c r="G78" s="415" t="s">
        <v>823</v>
      </c>
      <c r="H78" s="417"/>
      <c r="I78" s="201">
        <f>-0.131*E32^0.7</f>
        <v>0</v>
      </c>
      <c r="J78" s="1" t="s">
        <v>824</v>
      </c>
    </row>
    <row r="79" spans="3:17" ht="39" hidden="1" customHeight="1" x14ac:dyDescent="0.45">
      <c r="C79" s="480"/>
      <c r="D79" s="684"/>
      <c r="E79" s="109" t="s">
        <v>825</v>
      </c>
      <c r="F79" s="16" t="s">
        <v>292</v>
      </c>
      <c r="G79" s="415" t="s">
        <v>826</v>
      </c>
      <c r="H79" s="417"/>
      <c r="I79" s="155">
        <f>-0.998*E32^0.7</f>
        <v>0</v>
      </c>
      <c r="J79" s="1" t="s">
        <v>827</v>
      </c>
    </row>
    <row r="80" spans="3:17" ht="19.5" hidden="1" customHeight="1" x14ac:dyDescent="0.45">
      <c r="C80" s="480"/>
      <c r="D80" s="684"/>
      <c r="E80" s="501" t="s">
        <v>828</v>
      </c>
      <c r="F80" s="418" t="s">
        <v>829</v>
      </c>
      <c r="G80" s="485" t="s">
        <v>830</v>
      </c>
      <c r="H80" s="486"/>
      <c r="I80" s="581">
        <f>(0.213*E32+10.5)*M80*24</f>
        <v>0</v>
      </c>
      <c r="J80" s="479" t="s">
        <v>831</v>
      </c>
      <c r="L80" s="202" t="s">
        <v>832</v>
      </c>
      <c r="M80" s="16">
        <f>H34</f>
        <v>0</v>
      </c>
    </row>
    <row r="81" spans="3:13" ht="19.5" hidden="1" customHeight="1" x14ac:dyDescent="0.45">
      <c r="C81" s="480"/>
      <c r="D81" s="684"/>
      <c r="E81" s="567"/>
      <c r="F81" s="591"/>
      <c r="G81" s="487"/>
      <c r="H81" s="488"/>
      <c r="I81" s="583"/>
      <c r="J81" s="481"/>
      <c r="L81" s="102"/>
      <c r="M81" s="102"/>
    </row>
    <row r="82" spans="3:13" ht="19.5" hidden="1" customHeight="1" x14ac:dyDescent="0.45">
      <c r="C82" s="480"/>
      <c r="D82" s="684"/>
      <c r="E82" s="567"/>
      <c r="F82" s="420" t="s">
        <v>292</v>
      </c>
      <c r="G82" s="485" t="s">
        <v>833</v>
      </c>
      <c r="H82" s="486"/>
      <c r="I82" s="694">
        <f>-I80*M82*10^-6</f>
        <v>0</v>
      </c>
      <c r="J82" s="479" t="s">
        <v>593</v>
      </c>
      <c r="L82" s="202" t="s">
        <v>810</v>
      </c>
      <c r="M82" s="16">
        <f>H32</f>
        <v>0</v>
      </c>
    </row>
    <row r="83" spans="3:13" ht="19.5" hidden="1" customHeight="1" x14ac:dyDescent="0.45">
      <c r="C83" s="480"/>
      <c r="D83" s="684"/>
      <c r="E83" s="502"/>
      <c r="F83" s="419"/>
      <c r="G83" s="487"/>
      <c r="H83" s="488"/>
      <c r="I83" s="695"/>
      <c r="J83" s="481"/>
    </row>
    <row r="84" spans="3:13" ht="19.5" hidden="1" customHeight="1" x14ac:dyDescent="0.45">
      <c r="C84" s="480"/>
      <c r="D84" s="684"/>
      <c r="E84" s="16" t="s">
        <v>834</v>
      </c>
      <c r="F84" s="16" t="s">
        <v>292</v>
      </c>
      <c r="G84" s="415" t="s">
        <v>42</v>
      </c>
      <c r="H84" s="417"/>
      <c r="I84" s="155">
        <f>+I78+I79+I82</f>
        <v>0</v>
      </c>
      <c r="J84" s="1" t="s">
        <v>835</v>
      </c>
    </row>
    <row r="85" spans="3:13" ht="19.5" hidden="1" customHeight="1" x14ac:dyDescent="0.45">
      <c r="C85" s="480"/>
      <c r="D85" s="423" t="s">
        <v>836</v>
      </c>
      <c r="E85" s="423"/>
      <c r="F85" s="16" t="s">
        <v>292</v>
      </c>
      <c r="G85" s="415" t="s">
        <v>42</v>
      </c>
      <c r="H85" s="417"/>
      <c r="I85" s="34">
        <f>+I45+I56</f>
        <v>31.599166920115586</v>
      </c>
      <c r="J85" s="1" t="s">
        <v>837</v>
      </c>
    </row>
    <row r="86" spans="3:13" ht="19.5" hidden="1" customHeight="1" x14ac:dyDescent="0.45">
      <c r="C86" s="480"/>
      <c r="D86" s="423" t="s">
        <v>838</v>
      </c>
      <c r="E86" s="423"/>
      <c r="F86" s="16" t="s">
        <v>292</v>
      </c>
      <c r="G86" s="415" t="s">
        <v>42</v>
      </c>
      <c r="H86" s="417"/>
      <c r="I86" s="34" t="e">
        <f>+I47+I77+I84</f>
        <v>#VALUE!</v>
      </c>
      <c r="J86" s="1" t="s">
        <v>839</v>
      </c>
    </row>
    <row r="87" spans="3:13" ht="19.5" hidden="1" customHeight="1" x14ac:dyDescent="0.45">
      <c r="C87" s="481"/>
      <c r="D87" s="431" t="s">
        <v>840</v>
      </c>
      <c r="E87" s="431"/>
      <c r="F87" s="16" t="s">
        <v>292</v>
      </c>
      <c r="G87" s="415" t="s">
        <v>42</v>
      </c>
      <c r="H87" s="417"/>
      <c r="I87" s="34" t="e">
        <f>+I85+I86</f>
        <v>#VALUE!</v>
      </c>
      <c r="J87" s="1" t="s">
        <v>841</v>
      </c>
    </row>
    <row r="88" spans="3:13" ht="39" hidden="1" customHeight="1" x14ac:dyDescent="0.45">
      <c r="C88" s="518" t="s">
        <v>394</v>
      </c>
      <c r="D88" s="519"/>
      <c r="E88" s="520"/>
      <c r="F88" s="16" t="s">
        <v>395</v>
      </c>
      <c r="G88" s="415" t="s">
        <v>42</v>
      </c>
      <c r="H88" s="417"/>
      <c r="I88" s="203" t="e">
        <f>1-I87/I49</f>
        <v>#VALUE!</v>
      </c>
      <c r="J88" s="1" t="s">
        <v>643</v>
      </c>
    </row>
    <row r="89" spans="3:13" ht="19.5" hidden="1" customHeight="1" x14ac:dyDescent="0.45"/>
    <row r="90" spans="3:13" ht="32.4" hidden="1" x14ac:dyDescent="0.45">
      <c r="C90" s="86" t="s">
        <v>842</v>
      </c>
    </row>
    <row r="91" spans="3:13" ht="19.5" hidden="1" customHeight="1" x14ac:dyDescent="0.45">
      <c r="C91" s="423" t="s">
        <v>27</v>
      </c>
      <c r="D91" s="423"/>
      <c r="E91" s="423"/>
      <c r="F91" s="16" t="s">
        <v>28</v>
      </c>
      <c r="G91" s="415" t="s">
        <v>279</v>
      </c>
      <c r="H91" s="417"/>
      <c r="I91" s="16" t="s">
        <v>280</v>
      </c>
    </row>
    <row r="92" spans="3:13" ht="19.5" hidden="1" customHeight="1" x14ac:dyDescent="0.45">
      <c r="C92" s="684" t="s">
        <v>843</v>
      </c>
      <c r="D92" s="684"/>
      <c r="E92" s="10" t="s">
        <v>783</v>
      </c>
      <c r="F92" s="16" t="s">
        <v>844</v>
      </c>
      <c r="G92" s="690">
        <f>+I55</f>
        <v>400.67099999999999</v>
      </c>
      <c r="H92" s="691"/>
      <c r="I92" s="182" t="s">
        <v>845</v>
      </c>
    </row>
    <row r="93" spans="3:13" ht="19.5" hidden="1" customHeight="1" x14ac:dyDescent="0.45">
      <c r="C93" s="684" t="s">
        <v>291</v>
      </c>
      <c r="D93" s="684"/>
      <c r="E93" s="10" t="s">
        <v>846</v>
      </c>
      <c r="F93" s="420" t="s">
        <v>847</v>
      </c>
      <c r="G93" s="685" t="e">
        <f>+I71+I74+I76</f>
        <v>#REF!</v>
      </c>
      <c r="H93" s="417"/>
      <c r="I93" s="1" t="s">
        <v>848</v>
      </c>
    </row>
    <row r="94" spans="3:13" ht="19.5" hidden="1" customHeight="1" x14ac:dyDescent="0.45">
      <c r="C94" s="684" t="s">
        <v>849</v>
      </c>
      <c r="D94" s="684"/>
      <c r="E94" s="10" t="s">
        <v>850</v>
      </c>
      <c r="F94" s="419"/>
      <c r="G94" s="685" t="e">
        <f>+I60+I68+I78+I79+I82</f>
        <v>#VALUE!</v>
      </c>
      <c r="H94" s="417"/>
      <c r="I94" s="1" t="s">
        <v>851</v>
      </c>
    </row>
    <row r="95" spans="3:13" ht="39" hidden="1" customHeight="1" x14ac:dyDescent="0.45">
      <c r="C95" s="686" t="s">
        <v>842</v>
      </c>
      <c r="D95" s="687"/>
      <c r="E95" s="687"/>
      <c r="F95" s="16" t="s">
        <v>852</v>
      </c>
      <c r="G95" s="688" t="e">
        <f>-G92/(G94+G93)</f>
        <v>#VALUE!</v>
      </c>
      <c r="H95" s="689"/>
      <c r="I95" s="204" t="s">
        <v>853</v>
      </c>
    </row>
    <row r="96" spans="3:13" ht="19.5" customHeight="1" x14ac:dyDescent="0.45"/>
    <row r="97" spans="2:17" ht="32.4" x14ac:dyDescent="0.45">
      <c r="C97" s="86" t="s">
        <v>397</v>
      </c>
    </row>
    <row r="98" spans="2:17" ht="19.5" customHeight="1" x14ac:dyDescent="0.45">
      <c r="B98" s="407" t="s">
        <v>27</v>
      </c>
      <c r="C98" s="407"/>
      <c r="D98" s="407"/>
      <c r="E98" s="407"/>
      <c r="F98" s="26" t="s">
        <v>28</v>
      </c>
      <c r="G98" s="441" t="s">
        <v>398</v>
      </c>
      <c r="H98" s="442"/>
      <c r="I98" s="225" t="s">
        <v>399</v>
      </c>
      <c r="J98" s="26" t="s">
        <v>400</v>
      </c>
    </row>
    <row r="99" spans="2:17" ht="19.5" customHeight="1" x14ac:dyDescent="0.45">
      <c r="B99" s="664" t="s">
        <v>533</v>
      </c>
      <c r="C99" s="683" t="s">
        <v>295</v>
      </c>
      <c r="D99" s="667"/>
      <c r="E99" s="243" t="s">
        <v>655</v>
      </c>
      <c r="F99" s="245" t="s">
        <v>84</v>
      </c>
      <c r="G99" s="476" t="s">
        <v>854</v>
      </c>
      <c r="H99" s="477"/>
      <c r="I99" s="254">
        <f>(1.12*E32+266)*M99*24*10^-3</f>
        <v>0</v>
      </c>
      <c r="J99" s="250" t="s">
        <v>855</v>
      </c>
      <c r="L99" s="248" t="s">
        <v>515</v>
      </c>
      <c r="M99" s="256">
        <f>H34</f>
        <v>0</v>
      </c>
    </row>
    <row r="100" spans="2:17" ht="58.5" customHeight="1" x14ac:dyDescent="0.45">
      <c r="B100" s="664"/>
      <c r="C100" s="667"/>
      <c r="D100" s="667"/>
      <c r="E100" s="243" t="s">
        <v>408</v>
      </c>
      <c r="F100" s="245" t="s">
        <v>84</v>
      </c>
      <c r="G100" s="681" t="s">
        <v>856</v>
      </c>
      <c r="H100" s="682"/>
      <c r="I100" s="254" t="e">
        <f>H36*M99*24*K35*10^-3*M100</f>
        <v>#VALUE!</v>
      </c>
      <c r="J100" s="250" t="s">
        <v>774</v>
      </c>
      <c r="L100" s="85" t="s">
        <v>857</v>
      </c>
      <c r="M100" s="335">
        <v>0.27779999999999999</v>
      </c>
    </row>
    <row r="101" spans="2:17" ht="19.5" customHeight="1" x14ac:dyDescent="0.45">
      <c r="B101" s="664"/>
      <c r="C101" s="667"/>
      <c r="D101" s="667"/>
      <c r="E101" s="153" t="s">
        <v>415</v>
      </c>
      <c r="F101" s="245" t="s">
        <v>84</v>
      </c>
      <c r="G101" s="476" t="s">
        <v>42</v>
      </c>
      <c r="H101" s="477"/>
      <c r="I101" s="254" t="e">
        <f>I99+I100</f>
        <v>#VALUE!</v>
      </c>
      <c r="J101" s="250" t="s">
        <v>858</v>
      </c>
    </row>
    <row r="102" spans="2:17" ht="39" customHeight="1" x14ac:dyDescent="0.45">
      <c r="B102" s="664" t="s">
        <v>1341</v>
      </c>
      <c r="C102" s="680" t="s">
        <v>859</v>
      </c>
      <c r="D102" s="667"/>
      <c r="E102" s="667" t="s">
        <v>860</v>
      </c>
      <c r="F102" s="249" t="s">
        <v>861</v>
      </c>
      <c r="G102" s="476" t="s">
        <v>862</v>
      </c>
      <c r="H102" s="477"/>
      <c r="I102" s="254">
        <f>(1.12*E32+266)+(0.119*E32+65.1)-(0.213*E32+10.462)</f>
        <v>320.63800000000003</v>
      </c>
      <c r="J102" s="250" t="s">
        <v>863</v>
      </c>
    </row>
    <row r="103" spans="2:17" ht="19.5" customHeight="1" x14ac:dyDescent="0.45">
      <c r="B103" s="664"/>
      <c r="C103" s="667"/>
      <c r="D103" s="667"/>
      <c r="E103" s="667"/>
      <c r="F103" s="153" t="s">
        <v>84</v>
      </c>
      <c r="G103" s="476" t="s">
        <v>864</v>
      </c>
      <c r="H103" s="477"/>
      <c r="I103" s="254">
        <f>I102*M103*24*10^-3</f>
        <v>0</v>
      </c>
      <c r="J103" s="250" t="s">
        <v>334</v>
      </c>
      <c r="L103" s="248" t="s">
        <v>515</v>
      </c>
      <c r="M103" s="256">
        <f>H34</f>
        <v>0</v>
      </c>
    </row>
    <row r="104" spans="2:17" ht="58.5" customHeight="1" x14ac:dyDescent="0.45">
      <c r="B104" s="664"/>
      <c r="C104" s="667"/>
      <c r="D104" s="667"/>
      <c r="E104" s="243" t="s">
        <v>865</v>
      </c>
      <c r="F104" s="245" t="s">
        <v>84</v>
      </c>
      <c r="G104" s="681" t="s">
        <v>866</v>
      </c>
      <c r="H104" s="682"/>
      <c r="I104" s="254" t="e">
        <f>H36*M103*24*K35*10^-3*M104</f>
        <v>#VALUE!</v>
      </c>
      <c r="J104" s="250" t="s">
        <v>340</v>
      </c>
      <c r="L104" s="85" t="s">
        <v>857</v>
      </c>
      <c r="M104" s="335">
        <v>0.27779999999999999</v>
      </c>
    </row>
    <row r="105" spans="2:17" ht="19.5" customHeight="1" x14ac:dyDescent="0.45">
      <c r="B105" s="664"/>
      <c r="C105" s="667"/>
      <c r="D105" s="667"/>
      <c r="E105" s="153" t="s">
        <v>415</v>
      </c>
      <c r="F105" s="245" t="s">
        <v>84</v>
      </c>
      <c r="G105" s="476" t="s">
        <v>42</v>
      </c>
      <c r="H105" s="477"/>
      <c r="I105" s="254" t="e">
        <f>I103+I104</f>
        <v>#VALUE!</v>
      </c>
      <c r="J105" s="250" t="s">
        <v>867</v>
      </c>
    </row>
    <row r="106" spans="2:17" ht="19.5" customHeight="1" x14ac:dyDescent="0.45">
      <c r="B106" s="664"/>
      <c r="C106" s="667" t="s">
        <v>371</v>
      </c>
      <c r="D106" s="667"/>
      <c r="E106" s="243" t="s">
        <v>428</v>
      </c>
      <c r="F106" s="153" t="s">
        <v>84</v>
      </c>
      <c r="G106" s="476" t="s">
        <v>868</v>
      </c>
      <c r="H106" s="477"/>
      <c r="I106" s="254" t="e">
        <f>I65*M106*24*10^-3</f>
        <v>#VALUE!</v>
      </c>
      <c r="J106" s="250" t="s">
        <v>353</v>
      </c>
      <c r="L106" s="248" t="s">
        <v>515</v>
      </c>
      <c r="M106" s="256">
        <f>H34</f>
        <v>0</v>
      </c>
    </row>
    <row r="107" spans="2:17" ht="39" customHeight="1" x14ac:dyDescent="0.45">
      <c r="B107" s="665" t="s">
        <v>397</v>
      </c>
      <c r="C107" s="665"/>
      <c r="D107" s="665"/>
      <c r="E107" s="665"/>
      <c r="F107" s="153" t="s">
        <v>395</v>
      </c>
      <c r="G107" s="476" t="s">
        <v>42</v>
      </c>
      <c r="H107" s="477"/>
      <c r="I107" s="255" t="e">
        <f>1-(I105-I106)/I101</f>
        <v>#VALUE!</v>
      </c>
      <c r="J107" s="250" t="s">
        <v>869</v>
      </c>
      <c r="Q107" s="100"/>
    </row>
    <row r="108" spans="2:17" ht="19.5" customHeight="1" x14ac:dyDescent="0.45"/>
    <row r="109" spans="2:17" ht="33" customHeight="1" x14ac:dyDescent="0.45">
      <c r="C109" s="86" t="s">
        <v>432</v>
      </c>
    </row>
    <row r="110" spans="2:17" ht="19.5" customHeight="1" x14ac:dyDescent="0.45">
      <c r="B110" s="407" t="s">
        <v>27</v>
      </c>
      <c r="C110" s="407"/>
      <c r="D110" s="407"/>
      <c r="E110" s="407"/>
      <c r="F110" s="26" t="s">
        <v>28</v>
      </c>
      <c r="G110" s="441" t="s">
        <v>398</v>
      </c>
      <c r="H110" s="442"/>
      <c r="I110" s="225" t="s">
        <v>433</v>
      </c>
      <c r="J110" s="26" t="s">
        <v>280</v>
      </c>
    </row>
    <row r="111" spans="2:17" ht="19.5" customHeight="1" x14ac:dyDescent="0.45">
      <c r="B111" s="664" t="s">
        <v>533</v>
      </c>
      <c r="C111" s="670" t="s">
        <v>295</v>
      </c>
      <c r="D111" s="671"/>
      <c r="E111" s="364" t="s">
        <v>434</v>
      </c>
      <c r="F111" s="359" t="s">
        <v>1300</v>
      </c>
      <c r="G111" s="471" t="s">
        <v>1305</v>
      </c>
      <c r="H111" s="472"/>
      <c r="I111" s="363" t="e">
        <f>I101*T37</f>
        <v>#VALUE!</v>
      </c>
      <c r="J111" s="11" t="s">
        <v>688</v>
      </c>
    </row>
    <row r="112" spans="2:17" ht="19.5" customHeight="1" x14ac:dyDescent="0.45">
      <c r="B112" s="664"/>
      <c r="C112" s="671"/>
      <c r="D112" s="671"/>
      <c r="E112" s="671" t="s">
        <v>440</v>
      </c>
      <c r="F112" s="672" t="s">
        <v>1300</v>
      </c>
      <c r="G112" s="674" t="s">
        <v>1306</v>
      </c>
      <c r="H112" s="675"/>
      <c r="I112" s="643" t="e">
        <f>H36*M112*24*K36*10^-3</f>
        <v>#VALUE!</v>
      </c>
      <c r="J112" s="550" t="s">
        <v>774</v>
      </c>
      <c r="L112" s="248" t="s">
        <v>515</v>
      </c>
      <c r="M112" s="256">
        <f>H34</f>
        <v>0</v>
      </c>
    </row>
    <row r="113" spans="2:19" ht="19.5" customHeight="1" x14ac:dyDescent="0.45">
      <c r="B113" s="664"/>
      <c r="C113" s="671"/>
      <c r="D113" s="671"/>
      <c r="E113" s="671"/>
      <c r="F113" s="673"/>
      <c r="G113" s="676"/>
      <c r="H113" s="677"/>
      <c r="I113" s="678"/>
      <c r="J113" s="530"/>
    </row>
    <row r="114" spans="2:19" ht="19.5" customHeight="1" x14ac:dyDescent="0.45">
      <c r="B114" s="664"/>
      <c r="C114" s="671"/>
      <c r="D114" s="671"/>
      <c r="E114" s="667" t="s">
        <v>444</v>
      </c>
      <c r="F114" s="668" t="s">
        <v>714</v>
      </c>
      <c r="G114" s="454" t="s">
        <v>1342</v>
      </c>
      <c r="H114" s="629"/>
      <c r="I114" s="661">
        <f>M114*E32*M112*10^-3</f>
        <v>0</v>
      </c>
      <c r="J114" s="550" t="s">
        <v>863</v>
      </c>
      <c r="L114" s="410" t="s">
        <v>1343</v>
      </c>
      <c r="M114" s="535">
        <v>0.64500000000000002</v>
      </c>
    </row>
    <row r="115" spans="2:19" ht="19.5" customHeight="1" x14ac:dyDescent="0.45">
      <c r="B115" s="664"/>
      <c r="C115" s="671"/>
      <c r="D115" s="671"/>
      <c r="E115" s="667"/>
      <c r="F115" s="669"/>
      <c r="G115" s="631"/>
      <c r="H115" s="632"/>
      <c r="I115" s="662"/>
      <c r="J115" s="530"/>
      <c r="L115" s="411"/>
      <c r="M115" s="663"/>
    </row>
    <row r="116" spans="2:19" ht="19.5" customHeight="1" x14ac:dyDescent="0.45">
      <c r="B116" s="664"/>
      <c r="C116" s="671"/>
      <c r="D116" s="671"/>
      <c r="E116" s="667"/>
      <c r="F116" s="249" t="s">
        <v>441</v>
      </c>
      <c r="G116" s="441" t="s">
        <v>719</v>
      </c>
      <c r="H116" s="442"/>
      <c r="I116" s="254">
        <f>I114*298</f>
        <v>0</v>
      </c>
      <c r="J116" s="250" t="s">
        <v>696</v>
      </c>
      <c r="L116" s="412"/>
      <c r="M116" s="536"/>
    </row>
    <row r="117" spans="2:19" ht="19.5" customHeight="1" x14ac:dyDescent="0.45">
      <c r="B117" s="664"/>
      <c r="C117" s="671"/>
      <c r="D117" s="671"/>
      <c r="E117" s="153" t="s">
        <v>415</v>
      </c>
      <c r="F117" s="249" t="s">
        <v>441</v>
      </c>
      <c r="G117" s="441" t="s">
        <v>42</v>
      </c>
      <c r="H117" s="442"/>
      <c r="I117" s="254" t="e">
        <f>+I111+I112+I116</f>
        <v>#VALUE!</v>
      </c>
      <c r="J117" s="250" t="s">
        <v>870</v>
      </c>
    </row>
    <row r="118" spans="2:19" ht="19.5" customHeight="1" x14ac:dyDescent="0.45">
      <c r="B118" s="664" t="s">
        <v>1341</v>
      </c>
      <c r="C118" s="679" t="s">
        <v>859</v>
      </c>
      <c r="D118" s="671"/>
      <c r="E118" s="364" t="s">
        <v>871</v>
      </c>
      <c r="F118" s="359" t="s">
        <v>1300</v>
      </c>
      <c r="G118" s="471" t="s">
        <v>1307</v>
      </c>
      <c r="H118" s="472"/>
      <c r="I118" s="363" t="e">
        <f>I105*T37</f>
        <v>#VALUE!</v>
      </c>
      <c r="J118" s="250" t="s">
        <v>340</v>
      </c>
    </row>
    <row r="119" spans="2:19" ht="19.5" customHeight="1" x14ac:dyDescent="0.45">
      <c r="B119" s="664"/>
      <c r="C119" s="671"/>
      <c r="D119" s="671"/>
      <c r="E119" s="671" t="s">
        <v>440</v>
      </c>
      <c r="F119" s="672" t="s">
        <v>1300</v>
      </c>
      <c r="G119" s="674" t="s">
        <v>1306</v>
      </c>
      <c r="H119" s="675"/>
      <c r="I119" s="643" t="e">
        <f>H36*M119*24*K36*10^-3</f>
        <v>#VALUE!</v>
      </c>
      <c r="J119" s="550" t="s">
        <v>344</v>
      </c>
      <c r="L119" s="248" t="s">
        <v>832</v>
      </c>
      <c r="M119" s="256">
        <f>H34</f>
        <v>0</v>
      </c>
    </row>
    <row r="120" spans="2:19" ht="19.5" customHeight="1" x14ac:dyDescent="0.45">
      <c r="B120" s="664"/>
      <c r="C120" s="671"/>
      <c r="D120" s="671"/>
      <c r="E120" s="671"/>
      <c r="F120" s="673"/>
      <c r="G120" s="676"/>
      <c r="H120" s="677"/>
      <c r="I120" s="678"/>
      <c r="J120" s="530"/>
    </row>
    <row r="121" spans="2:19" ht="19.5" customHeight="1" x14ac:dyDescent="0.45">
      <c r="B121" s="664"/>
      <c r="C121" s="671"/>
      <c r="D121" s="671"/>
      <c r="E121" s="559" t="s">
        <v>736</v>
      </c>
      <c r="F121" s="410" t="s">
        <v>737</v>
      </c>
      <c r="G121" s="630" t="s">
        <v>872</v>
      </c>
      <c r="H121" s="629"/>
      <c r="I121" s="661">
        <f>0.000232*E32*M119</f>
        <v>0</v>
      </c>
      <c r="J121" s="550" t="s">
        <v>873</v>
      </c>
    </row>
    <row r="122" spans="2:19" ht="19.5" customHeight="1" x14ac:dyDescent="0.45">
      <c r="B122" s="664"/>
      <c r="C122" s="671"/>
      <c r="D122" s="671"/>
      <c r="E122" s="559"/>
      <c r="F122" s="412"/>
      <c r="G122" s="631"/>
      <c r="H122" s="632"/>
      <c r="I122" s="662"/>
      <c r="J122" s="530"/>
    </row>
    <row r="123" spans="2:19" ht="19.5" customHeight="1" x14ac:dyDescent="0.45">
      <c r="B123" s="664"/>
      <c r="C123" s="671"/>
      <c r="D123" s="671"/>
      <c r="E123" s="559"/>
      <c r="F123" s="85" t="s">
        <v>438</v>
      </c>
      <c r="G123" s="441" t="s">
        <v>719</v>
      </c>
      <c r="H123" s="442"/>
      <c r="I123" s="254">
        <f>I121*298</f>
        <v>0</v>
      </c>
      <c r="J123" s="252" t="s">
        <v>353</v>
      </c>
      <c r="P123" s="475"/>
      <c r="Q123" s="475"/>
      <c r="R123" s="187"/>
      <c r="S123" s="188"/>
    </row>
    <row r="124" spans="2:19" ht="19.5" customHeight="1" x14ac:dyDescent="0.45">
      <c r="B124" s="664"/>
      <c r="C124" s="671"/>
      <c r="D124" s="671"/>
      <c r="E124" s="19" t="s">
        <v>469</v>
      </c>
      <c r="F124" s="85" t="s">
        <v>438</v>
      </c>
      <c r="G124" s="441" t="s">
        <v>1273</v>
      </c>
      <c r="H124" s="442"/>
      <c r="I124" s="254" t="e">
        <f>-I66*T37</f>
        <v>#VALUE!</v>
      </c>
      <c r="J124" s="252" t="s">
        <v>359</v>
      </c>
      <c r="P124" s="100"/>
    </row>
    <row r="125" spans="2:19" ht="19.5" customHeight="1" x14ac:dyDescent="0.45">
      <c r="B125" s="664"/>
      <c r="C125" s="671"/>
      <c r="D125" s="671"/>
      <c r="E125" s="26" t="s">
        <v>415</v>
      </c>
      <c r="F125" s="85" t="s">
        <v>438</v>
      </c>
      <c r="G125" s="441" t="s">
        <v>42</v>
      </c>
      <c r="H125" s="442"/>
      <c r="I125" s="254" t="e">
        <f>+I118+I119+I123+I124</f>
        <v>#VALUE!</v>
      </c>
      <c r="J125" s="252" t="s">
        <v>874</v>
      </c>
      <c r="R125" s="107"/>
      <c r="S125" s="100"/>
    </row>
    <row r="126" spans="2:19" ht="39" customHeight="1" x14ac:dyDescent="0.45">
      <c r="B126" s="666" t="s">
        <v>432</v>
      </c>
      <c r="C126" s="666"/>
      <c r="D126" s="666"/>
      <c r="E126" s="666"/>
      <c r="F126" s="26" t="s">
        <v>395</v>
      </c>
      <c r="G126" s="441" t="s">
        <v>42</v>
      </c>
      <c r="H126" s="442"/>
      <c r="I126" s="255" t="e">
        <f>1-I125/I117</f>
        <v>#VALUE!</v>
      </c>
      <c r="J126" s="253" t="s">
        <v>875</v>
      </c>
      <c r="R126" s="125"/>
      <c r="S126" s="100"/>
    </row>
    <row r="129" spans="3:6" x14ac:dyDescent="0.45">
      <c r="C129" s="431" t="s">
        <v>1298</v>
      </c>
      <c r="D129" s="431"/>
      <c r="E129" s="313" t="e">
        <f>I117-I125</f>
        <v>#VALUE!</v>
      </c>
      <c r="F129" s="312" t="s">
        <v>21</v>
      </c>
    </row>
    <row r="130" spans="3:6" x14ac:dyDescent="0.45">
      <c r="C130" s="431" t="s">
        <v>1299</v>
      </c>
      <c r="D130" s="431"/>
      <c r="E130" s="313" t="e">
        <f>I111+I112-I118-I119</f>
        <v>#VALUE!</v>
      </c>
      <c r="F130" s="312" t="s">
        <v>21</v>
      </c>
    </row>
    <row r="131" spans="3:6" x14ac:dyDescent="0.45">
      <c r="C131" s="4" t="s">
        <v>1311</v>
      </c>
    </row>
  </sheetData>
  <mergeCells count="189">
    <mergeCell ref="C31:D31"/>
    <mergeCell ref="C32:D32"/>
    <mergeCell ref="R32:S32"/>
    <mergeCell ref="T32:U32"/>
    <mergeCell ref="C33:D33"/>
    <mergeCell ref="C34:D34"/>
    <mergeCell ref="P42:P44"/>
    <mergeCell ref="S42:S43"/>
    <mergeCell ref="G43:H43"/>
    <mergeCell ref="G44:H44"/>
    <mergeCell ref="E45:E46"/>
    <mergeCell ref="F45:F46"/>
    <mergeCell ref="C35:D35"/>
    <mergeCell ref="K35:L35"/>
    <mergeCell ref="C36:D36"/>
    <mergeCell ref="K36:L36"/>
    <mergeCell ref="G40:H40"/>
    <mergeCell ref="G45:H46"/>
    <mergeCell ref="I45:I46"/>
    <mergeCell ref="J45:J46"/>
    <mergeCell ref="D41:D50"/>
    <mergeCell ref="G41:H41"/>
    <mergeCell ref="G42:H42"/>
    <mergeCell ref="P45:Q45"/>
    <mergeCell ref="E47:E48"/>
    <mergeCell ref="F47:F48"/>
    <mergeCell ref="G47:H48"/>
    <mergeCell ref="I47:I48"/>
    <mergeCell ref="J47:J48"/>
    <mergeCell ref="L47:M47"/>
    <mergeCell ref="M49:M50"/>
    <mergeCell ref="C51:C87"/>
    <mergeCell ref="D51:D84"/>
    <mergeCell ref="G51:H51"/>
    <mergeCell ref="G52:H52"/>
    <mergeCell ref="G53:H53"/>
    <mergeCell ref="G54:H54"/>
    <mergeCell ref="E58:E61"/>
    <mergeCell ref="F58:F59"/>
    <mergeCell ref="G58:H59"/>
    <mergeCell ref="E49:E50"/>
    <mergeCell ref="F49:F50"/>
    <mergeCell ref="G49:H50"/>
    <mergeCell ref="I49:I50"/>
    <mergeCell ref="J49:J50"/>
    <mergeCell ref="L49:L50"/>
    <mergeCell ref="C41:C50"/>
    <mergeCell ref="P54:Q54"/>
    <mergeCell ref="G55:H55"/>
    <mergeCell ref="P55:Q55"/>
    <mergeCell ref="E56:E57"/>
    <mergeCell ref="F56:F57"/>
    <mergeCell ref="G56:H57"/>
    <mergeCell ref="I56:I57"/>
    <mergeCell ref="J56:J57"/>
    <mergeCell ref="P57:Q57"/>
    <mergeCell ref="I58:I59"/>
    <mergeCell ref="J58:J59"/>
    <mergeCell ref="L58:M58"/>
    <mergeCell ref="P59:Q59"/>
    <mergeCell ref="F60:F61"/>
    <mergeCell ref="G60:H61"/>
    <mergeCell ref="I60:I61"/>
    <mergeCell ref="J60:J61"/>
    <mergeCell ref="L61:L62"/>
    <mergeCell ref="M61:M62"/>
    <mergeCell ref="E70:E72"/>
    <mergeCell ref="G70:H70"/>
    <mergeCell ref="P70:Q70"/>
    <mergeCell ref="F71:F72"/>
    <mergeCell ref="G71:H72"/>
    <mergeCell ref="I71:I72"/>
    <mergeCell ref="J71:J72"/>
    <mergeCell ref="P72:Q72"/>
    <mergeCell ref="P67:Q67"/>
    <mergeCell ref="F68:F69"/>
    <mergeCell ref="G68:H69"/>
    <mergeCell ref="I68:I69"/>
    <mergeCell ref="J68:J69"/>
    <mergeCell ref="P69:Q69"/>
    <mergeCell ref="E62:E69"/>
    <mergeCell ref="F62:F64"/>
    <mergeCell ref="G62:H64"/>
    <mergeCell ref="I62:I64"/>
    <mergeCell ref="J62:J64"/>
    <mergeCell ref="G65:H65"/>
    <mergeCell ref="F66:F67"/>
    <mergeCell ref="G66:H67"/>
    <mergeCell ref="I66:I67"/>
    <mergeCell ref="J66:J67"/>
    <mergeCell ref="E80:E83"/>
    <mergeCell ref="F80:F81"/>
    <mergeCell ref="G80:H81"/>
    <mergeCell ref="E73:E75"/>
    <mergeCell ref="G73:H73"/>
    <mergeCell ref="P73:Q73"/>
    <mergeCell ref="F74:F75"/>
    <mergeCell ref="G74:H75"/>
    <mergeCell ref="I74:I75"/>
    <mergeCell ref="J74:J75"/>
    <mergeCell ref="P75:Q75"/>
    <mergeCell ref="I80:I81"/>
    <mergeCell ref="J80:J81"/>
    <mergeCell ref="F82:F83"/>
    <mergeCell ref="G82:H83"/>
    <mergeCell ref="I82:I83"/>
    <mergeCell ref="J82:J83"/>
    <mergeCell ref="G76:H76"/>
    <mergeCell ref="G77:H77"/>
    <mergeCell ref="G78:H78"/>
    <mergeCell ref="G79:H79"/>
    <mergeCell ref="C88:E88"/>
    <mergeCell ref="G88:H88"/>
    <mergeCell ref="C91:E91"/>
    <mergeCell ref="G91:H91"/>
    <mergeCell ref="C92:D92"/>
    <mergeCell ref="G92:H92"/>
    <mergeCell ref="G84:H84"/>
    <mergeCell ref="D85:E85"/>
    <mergeCell ref="G85:H85"/>
    <mergeCell ref="D86:E86"/>
    <mergeCell ref="G86:H86"/>
    <mergeCell ref="D87:E87"/>
    <mergeCell ref="G87:H87"/>
    <mergeCell ref="G98:H98"/>
    <mergeCell ref="C99:D101"/>
    <mergeCell ref="G99:H99"/>
    <mergeCell ref="G100:H100"/>
    <mergeCell ref="G101:H101"/>
    <mergeCell ref="C93:D93"/>
    <mergeCell ref="F93:F94"/>
    <mergeCell ref="G93:H93"/>
    <mergeCell ref="C94:D94"/>
    <mergeCell ref="G94:H94"/>
    <mergeCell ref="C95:E95"/>
    <mergeCell ref="G95:H95"/>
    <mergeCell ref="C106:D106"/>
    <mergeCell ref="G106:H106"/>
    <mergeCell ref="G107:H107"/>
    <mergeCell ref="G110:H110"/>
    <mergeCell ref="C102:D105"/>
    <mergeCell ref="E102:E103"/>
    <mergeCell ref="G102:H102"/>
    <mergeCell ref="G103:H103"/>
    <mergeCell ref="G104:H104"/>
    <mergeCell ref="G105:H105"/>
    <mergeCell ref="C130:D130"/>
    <mergeCell ref="P123:Q123"/>
    <mergeCell ref="G124:H124"/>
    <mergeCell ref="G125:H125"/>
    <mergeCell ref="G126:H126"/>
    <mergeCell ref="C129:D129"/>
    <mergeCell ref="J119:J120"/>
    <mergeCell ref="E121:E123"/>
    <mergeCell ref="F121:F122"/>
    <mergeCell ref="G121:H122"/>
    <mergeCell ref="I121:I122"/>
    <mergeCell ref="J121:J122"/>
    <mergeCell ref="G123:H123"/>
    <mergeCell ref="C118:D125"/>
    <mergeCell ref="G118:H118"/>
    <mergeCell ref="E119:E120"/>
    <mergeCell ref="F119:F120"/>
    <mergeCell ref="G119:H120"/>
    <mergeCell ref="I119:I120"/>
    <mergeCell ref="M114:M116"/>
    <mergeCell ref="B99:B101"/>
    <mergeCell ref="B102:B106"/>
    <mergeCell ref="B98:E98"/>
    <mergeCell ref="B107:E107"/>
    <mergeCell ref="B111:B117"/>
    <mergeCell ref="B118:B125"/>
    <mergeCell ref="B110:E110"/>
    <mergeCell ref="B126:E126"/>
    <mergeCell ref="L114:L116"/>
    <mergeCell ref="J112:J113"/>
    <mergeCell ref="E114:E116"/>
    <mergeCell ref="F114:F115"/>
    <mergeCell ref="G114:H115"/>
    <mergeCell ref="I114:I115"/>
    <mergeCell ref="J114:J115"/>
    <mergeCell ref="G116:H116"/>
    <mergeCell ref="C111:D117"/>
    <mergeCell ref="G111:H111"/>
    <mergeCell ref="E112:E113"/>
    <mergeCell ref="F112:F113"/>
    <mergeCell ref="G112:H113"/>
    <mergeCell ref="I112:I113"/>
    <mergeCell ref="G117:H117"/>
  </mergeCells>
  <phoneticPr fontId="2"/>
  <dataValidations disablePrompts="1" count="1">
    <dataValidation type="list" allowBlank="1" showInputMessage="1" showErrorMessage="1" sqref="H35" xr:uid="{FF9E62EB-71DF-4D7E-95EB-EC32E1A19493}">
      <formula1>"都市ガス,消化ガス,,灯油,A重油"</formula1>
    </dataValidation>
  </dataValidations>
  <hyperlinks>
    <hyperlink ref="J2" location="汚泥処理対策シート!A1" display="クリックで対策シートに戻る" xr:uid="{FC6BD52B-07F6-4866-8AEA-2B79194BBD3B}"/>
  </hyperlinks>
  <pageMargins left="0.70866141732283472" right="0.70866141732283472" top="0.74803149606299213" bottom="0.74803149606299213" header="0.31496062992125984" footer="0.31496062992125984"/>
  <pageSetup paperSize="9" scale="3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792EE-D246-44AA-9A82-9FEBF6BCAF0A}">
  <sheetPr>
    <tabColor theme="5" tint="-0.499984740745262"/>
  </sheetPr>
  <dimension ref="B2:J42"/>
  <sheetViews>
    <sheetView zoomScale="80" zoomScaleNormal="80" workbookViewId="0"/>
  </sheetViews>
  <sheetFormatPr defaultRowHeight="18" x14ac:dyDescent="0.45"/>
  <cols>
    <col min="2" max="2" width="15.59765625" customWidth="1"/>
    <col min="3" max="3" width="22.59765625" customWidth="1"/>
    <col min="4" max="4" width="11" bestFit="1" customWidth="1"/>
    <col min="5" max="5" width="29.59765625" bestFit="1" customWidth="1"/>
    <col min="6" max="6" width="12.5" customWidth="1"/>
    <col min="7" max="7" width="15.8984375" customWidth="1"/>
    <col min="8" max="8" width="22.3984375" customWidth="1"/>
    <col min="9" max="9" width="24" bestFit="1" customWidth="1"/>
    <col min="10" max="10" width="32.59765625" customWidth="1"/>
    <col min="11" max="11" width="14.19921875" customWidth="1"/>
    <col min="12" max="12" width="21.19921875" bestFit="1" customWidth="1"/>
    <col min="13" max="13" width="7.09765625" bestFit="1" customWidth="1"/>
  </cols>
  <sheetData>
    <row r="2" spans="2:10" ht="22.2" x14ac:dyDescent="0.45">
      <c r="B2" s="28" t="s">
        <v>1329</v>
      </c>
      <c r="J2" s="242" t="s">
        <v>1145</v>
      </c>
    </row>
    <row r="3" spans="2:10" x14ac:dyDescent="0.45">
      <c r="B3" s="32" t="s">
        <v>94</v>
      </c>
      <c r="C3" s="33"/>
      <c r="D3" s="33"/>
      <c r="E3" s="33"/>
      <c r="H3" s="18"/>
      <c r="I3" t="s">
        <v>79</v>
      </c>
    </row>
    <row r="4" spans="2:10" x14ac:dyDescent="0.45">
      <c r="B4" s="310" t="s">
        <v>97</v>
      </c>
      <c r="C4" s="311"/>
      <c r="D4" s="311"/>
      <c r="E4" s="311"/>
      <c r="H4" s="7"/>
      <c r="I4" t="s">
        <v>80</v>
      </c>
    </row>
    <row r="5" spans="2:10" x14ac:dyDescent="0.45">
      <c r="H5" s="332"/>
      <c r="I5" t="s">
        <v>1243</v>
      </c>
    </row>
    <row r="6" spans="2:10" x14ac:dyDescent="0.45">
      <c r="H6" s="11"/>
      <c r="I6" t="s">
        <v>81</v>
      </c>
    </row>
    <row r="7" spans="2:10" x14ac:dyDescent="0.45">
      <c r="B7" s="31" t="s">
        <v>1134</v>
      </c>
      <c r="C7" s="4"/>
    </row>
    <row r="8" spans="2:10" x14ac:dyDescent="0.45">
      <c r="B8" s="31" t="s">
        <v>1324</v>
      </c>
      <c r="C8" s="4"/>
    </row>
    <row r="9" spans="2:10" x14ac:dyDescent="0.45">
      <c r="B9" s="31"/>
      <c r="C9" s="4"/>
    </row>
    <row r="10" spans="2:10" x14ac:dyDescent="0.45">
      <c r="B10" s="407" t="s">
        <v>152</v>
      </c>
      <c r="C10" s="407"/>
      <c r="D10" s="432" t="s">
        <v>1309</v>
      </c>
      <c r="E10" s="433"/>
      <c r="I10" s="4" t="s">
        <v>213</v>
      </c>
    </row>
    <row r="11" spans="2:10" x14ac:dyDescent="0.45">
      <c r="B11" s="407" t="s">
        <v>1344</v>
      </c>
      <c r="C11" s="407"/>
      <c r="D11" s="325"/>
      <c r="E11" s="11" t="s">
        <v>84</v>
      </c>
    </row>
    <row r="12" spans="2:10" x14ac:dyDescent="0.45">
      <c r="B12" s="407" t="s">
        <v>85</v>
      </c>
      <c r="C12" s="407"/>
      <c r="D12" s="8"/>
      <c r="E12" s="11" t="s">
        <v>86</v>
      </c>
      <c r="F12" s="4" t="s">
        <v>124</v>
      </c>
    </row>
    <row r="13" spans="2:10" x14ac:dyDescent="0.45">
      <c r="B13" s="407" t="s">
        <v>91</v>
      </c>
      <c r="C13" s="407"/>
      <c r="D13" s="56">
        <f>(D11*D12/100)</f>
        <v>0</v>
      </c>
      <c r="E13" s="11" t="s">
        <v>84</v>
      </c>
      <c r="F13" s="4"/>
    </row>
    <row r="14" spans="2:10" x14ac:dyDescent="0.45">
      <c r="B14" s="407" t="s">
        <v>70</v>
      </c>
      <c r="C14" s="407"/>
      <c r="D14" s="7">
        <f>ツール入力シート!C13</f>
        <v>0.25</v>
      </c>
      <c r="E14" s="11" t="s">
        <v>92</v>
      </c>
    </row>
    <row r="15" spans="2:10" x14ac:dyDescent="0.45">
      <c r="B15" s="431" t="s">
        <v>93</v>
      </c>
      <c r="C15" s="431"/>
      <c r="D15" s="313">
        <f>D13*D14</f>
        <v>0</v>
      </c>
      <c r="E15" s="312" t="s">
        <v>21</v>
      </c>
    </row>
    <row r="18" spans="2:9" x14ac:dyDescent="0.45">
      <c r="B18" s="443" t="s">
        <v>125</v>
      </c>
      <c r="C18" s="443"/>
      <c r="D18" s="443"/>
      <c r="E18" s="443"/>
      <c r="F18" s="4"/>
    </row>
    <row r="19" spans="2:9" x14ac:dyDescent="0.45">
      <c r="B19" s="14"/>
      <c r="C19" s="724" t="s">
        <v>1128</v>
      </c>
      <c r="D19" s="724"/>
      <c r="E19" s="725" t="s">
        <v>1129</v>
      </c>
      <c r="F19" s="4"/>
    </row>
    <row r="20" spans="2:9" ht="36" x14ac:dyDescent="0.45">
      <c r="B20" s="14"/>
      <c r="C20" s="231" t="s">
        <v>1133</v>
      </c>
      <c r="D20" s="231" t="s">
        <v>1132</v>
      </c>
      <c r="E20" s="725"/>
      <c r="F20" s="4"/>
    </row>
    <row r="21" spans="2:9" x14ac:dyDescent="0.45">
      <c r="B21" s="14" t="s">
        <v>1131</v>
      </c>
      <c r="C21" s="351">
        <v>214</v>
      </c>
      <c r="D21" s="230">
        <v>5</v>
      </c>
      <c r="E21" s="351">
        <v>118</v>
      </c>
      <c r="F21" s="4"/>
    </row>
    <row r="22" spans="2:9" x14ac:dyDescent="0.45">
      <c r="B22" s="233" t="s">
        <v>1130</v>
      </c>
      <c r="C22" s="232">
        <f>(C21-E21)/C21*100</f>
        <v>44.859813084112147</v>
      </c>
      <c r="D22" s="232">
        <f>(D21-E21)/D21*100</f>
        <v>-2260</v>
      </c>
      <c r="E22" s="76"/>
      <c r="F22" s="4"/>
    </row>
    <row r="23" spans="2:9" x14ac:dyDescent="0.45">
      <c r="B23" s="4" t="s">
        <v>1148</v>
      </c>
      <c r="F23" s="59"/>
    </row>
    <row r="24" spans="2:9" x14ac:dyDescent="0.45">
      <c r="B24" s="4" t="s">
        <v>1310</v>
      </c>
      <c r="F24" s="59"/>
    </row>
    <row r="25" spans="2:9" x14ac:dyDescent="0.45">
      <c r="B25" s="4"/>
      <c r="F25" s="59"/>
    </row>
    <row r="26" spans="2:9" x14ac:dyDescent="0.45">
      <c r="B26" t="s">
        <v>1127</v>
      </c>
    </row>
    <row r="28" spans="2:9" x14ac:dyDescent="0.45">
      <c r="I28" s="58"/>
    </row>
    <row r="33" spans="7:10" x14ac:dyDescent="0.45">
      <c r="H33" s="3"/>
    </row>
    <row r="34" spans="7:10" x14ac:dyDescent="0.45">
      <c r="H34" s="3"/>
    </row>
    <row r="35" spans="7:10" x14ac:dyDescent="0.45">
      <c r="H35" s="3"/>
    </row>
    <row r="36" spans="7:10" x14ac:dyDescent="0.45">
      <c r="H36" s="3"/>
    </row>
    <row r="37" spans="7:10" x14ac:dyDescent="0.45">
      <c r="H37" s="3"/>
    </row>
    <row r="38" spans="7:10" x14ac:dyDescent="0.45">
      <c r="H38" s="3"/>
    </row>
    <row r="39" spans="7:10" x14ac:dyDescent="0.45">
      <c r="H39" s="3"/>
    </row>
    <row r="40" spans="7:10" x14ac:dyDescent="0.45">
      <c r="H40" s="3"/>
    </row>
    <row r="41" spans="7:10" x14ac:dyDescent="0.45">
      <c r="G41" s="58"/>
      <c r="H41" s="3"/>
      <c r="I41" s="78"/>
      <c r="J41" s="77"/>
    </row>
    <row r="42" spans="7:10" x14ac:dyDescent="0.45">
      <c r="I42" s="40"/>
    </row>
  </sheetData>
  <mergeCells count="10">
    <mergeCell ref="C19:D19"/>
    <mergeCell ref="E19:E20"/>
    <mergeCell ref="B10:C10"/>
    <mergeCell ref="D10:E10"/>
    <mergeCell ref="B11:C11"/>
    <mergeCell ref="B12:C12"/>
    <mergeCell ref="B13:C13"/>
    <mergeCell ref="B14:C14"/>
    <mergeCell ref="B15:C15"/>
    <mergeCell ref="B18:E18"/>
  </mergeCells>
  <phoneticPr fontId="2"/>
  <hyperlinks>
    <hyperlink ref="J2" location="汚泥処理対策シート!A1" display="クリックで対策シートに戻る" xr:uid="{EC51FDF2-A50B-4356-8F0E-8664EF234367}"/>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F1BAC-8B9F-4A37-B3AC-52471799D47E}">
  <sheetPr>
    <tabColor theme="5" tint="-0.499984740745262"/>
    <pageSetUpPr fitToPage="1"/>
  </sheetPr>
  <dimension ref="A1:N279"/>
  <sheetViews>
    <sheetView zoomScale="80" zoomScaleNormal="80" workbookViewId="0"/>
  </sheetViews>
  <sheetFormatPr defaultColWidth="10.5" defaultRowHeight="18" customHeight="1" x14ac:dyDescent="0.45"/>
  <cols>
    <col min="1" max="1" width="5.19921875" style="207" customWidth="1"/>
    <col min="2" max="6" width="11.69921875" style="206" customWidth="1"/>
    <col min="7" max="11" width="11.69921875" style="207" customWidth="1"/>
    <col min="12" max="12" width="18.3984375" style="207" customWidth="1"/>
    <col min="13" max="13" width="11.69921875" style="207" customWidth="1"/>
    <col min="14" max="14" width="39.19921875" style="207" customWidth="1"/>
    <col min="15" max="16384" width="10.5" style="207"/>
  </cols>
  <sheetData>
    <row r="1" spans="2:13" s="146" customFormat="1" x14ac:dyDescent="0.45"/>
    <row r="2" spans="2:13" customFormat="1" ht="22.2" x14ac:dyDescent="0.45">
      <c r="B2" s="28" t="s">
        <v>1330</v>
      </c>
      <c r="L2" s="242" t="s">
        <v>1145</v>
      </c>
    </row>
    <row r="3" spans="2:13" customFormat="1" x14ac:dyDescent="0.45">
      <c r="B3" s="32" t="s">
        <v>94</v>
      </c>
      <c r="C3" s="33"/>
      <c r="D3" s="33"/>
      <c r="E3" s="33"/>
      <c r="G3" s="146"/>
      <c r="L3" s="146"/>
    </row>
    <row r="4" spans="2:13" customFormat="1" x14ac:dyDescent="0.45">
      <c r="B4" s="310" t="s">
        <v>97</v>
      </c>
      <c r="C4" s="311"/>
      <c r="D4" s="311"/>
      <c r="E4" s="311"/>
    </row>
    <row r="5" spans="2:13" customFormat="1" x14ac:dyDescent="0.45"/>
    <row r="6" spans="2:13" customFormat="1" x14ac:dyDescent="0.45">
      <c r="B6" s="31" t="s">
        <v>1138</v>
      </c>
      <c r="C6" s="4"/>
    </row>
    <row r="7" spans="2:13" s="146" customFormat="1" x14ac:dyDescent="0.45">
      <c r="B7" s="31" t="s">
        <v>1139</v>
      </c>
      <c r="H7" s="31"/>
      <c r="I7" s="31"/>
      <c r="M7" s="31"/>
    </row>
    <row r="8" spans="2:13" s="146" customFormat="1" x14ac:dyDescent="0.45">
      <c r="B8" s="31" t="s">
        <v>1274</v>
      </c>
      <c r="H8" s="31"/>
      <c r="I8" s="31"/>
      <c r="M8" s="31"/>
    </row>
    <row r="9" spans="2:13" s="146" customFormat="1" x14ac:dyDescent="0.45">
      <c r="B9" s="31"/>
      <c r="H9" s="31"/>
      <c r="I9" s="31"/>
      <c r="M9" s="31"/>
    </row>
    <row r="10" spans="2:13" s="146" customFormat="1" x14ac:dyDescent="0.45">
      <c r="B10" s="31"/>
      <c r="H10" s="31"/>
      <c r="I10" s="31"/>
      <c r="M10" s="31"/>
    </row>
    <row r="11" spans="2:13" s="146" customFormat="1" x14ac:dyDescent="0.45">
      <c r="B11" s="31" t="s">
        <v>1141</v>
      </c>
      <c r="H11" s="31"/>
      <c r="I11" s="31"/>
      <c r="M11" s="31"/>
    </row>
    <row r="12" spans="2:13" s="146" customFormat="1" x14ac:dyDescent="0.45">
      <c r="B12" s="31" t="s">
        <v>1308</v>
      </c>
      <c r="H12" s="31"/>
      <c r="I12" s="31"/>
      <c r="M12" s="31"/>
    </row>
    <row r="13" spans="2:13" s="146" customFormat="1" x14ac:dyDescent="0.45">
      <c r="B13" s="431" t="s">
        <v>93</v>
      </c>
      <c r="C13" s="431"/>
      <c r="D13" s="313"/>
      <c r="E13" s="312" t="s">
        <v>21</v>
      </c>
      <c r="H13" s="31"/>
      <c r="I13" s="31"/>
      <c r="M13" s="31"/>
    </row>
    <row r="14" spans="2:13" s="146" customFormat="1" x14ac:dyDescent="0.45">
      <c r="B14" s="31"/>
      <c r="H14" s="31"/>
      <c r="I14" s="31"/>
      <c r="M14" s="31"/>
    </row>
    <row r="15" spans="2:13" s="146" customFormat="1" x14ac:dyDescent="0.45">
      <c r="B15" s="31"/>
      <c r="I15" s="31"/>
    </row>
    <row r="16" spans="2:13" s="146" customFormat="1" x14ac:dyDescent="0.45">
      <c r="B16" s="31" t="s">
        <v>509</v>
      </c>
      <c r="I16" s="31"/>
    </row>
    <row r="17" spans="2:11" s="146" customFormat="1" x14ac:dyDescent="0.45">
      <c r="B17" s="31"/>
      <c r="I17" s="31"/>
    </row>
    <row r="18" spans="2:11" s="146" customFormat="1" x14ac:dyDescent="0.45">
      <c r="B18" s="31"/>
      <c r="I18" s="31"/>
    </row>
    <row r="19" spans="2:11" s="146" customFormat="1" x14ac:dyDescent="0.45">
      <c r="B19" s="31"/>
      <c r="I19" s="31"/>
    </row>
    <row r="20" spans="2:11" s="146" customFormat="1" x14ac:dyDescent="0.45">
      <c r="B20" s="31"/>
      <c r="I20" s="31"/>
    </row>
    <row r="21" spans="2:11" s="146" customFormat="1" x14ac:dyDescent="0.45">
      <c r="B21" s="31"/>
      <c r="I21" s="31"/>
    </row>
    <row r="22" spans="2:11" s="146" customFormat="1" x14ac:dyDescent="0.45">
      <c r="B22" s="31"/>
      <c r="I22" s="31"/>
    </row>
    <row r="23" spans="2:11" s="146" customFormat="1" x14ac:dyDescent="0.45">
      <c r="B23" s="31"/>
      <c r="I23" s="31"/>
    </row>
    <row r="24" spans="2:11" s="146" customFormat="1" x14ac:dyDescent="0.45">
      <c r="B24" s="31"/>
      <c r="I24" s="31"/>
    </row>
    <row r="28" spans="2:11" ht="18" customHeight="1" x14ac:dyDescent="0.45">
      <c r="H28" s="146"/>
      <c r="I28"/>
    </row>
    <row r="29" spans="2:11" ht="18" customHeight="1" x14ac:dyDescent="0.45">
      <c r="H29"/>
      <c r="I29"/>
    </row>
    <row r="30" spans="2:11" ht="18" customHeight="1" x14ac:dyDescent="0.45">
      <c r="H30"/>
      <c r="I30"/>
    </row>
    <row r="31" spans="2:11" ht="18" customHeight="1" x14ac:dyDescent="0.45">
      <c r="H31"/>
      <c r="I31"/>
      <c r="J31" s="18"/>
      <c r="K31" t="s">
        <v>79</v>
      </c>
    </row>
    <row r="32" spans="2:11" ht="18" customHeight="1" x14ac:dyDescent="0.45">
      <c r="H32" s="146"/>
      <c r="I32" s="31"/>
      <c r="J32" s="7"/>
      <c r="K32" t="s">
        <v>80</v>
      </c>
    </row>
    <row r="33" spans="1:14" ht="18" customHeight="1" x14ac:dyDescent="0.45">
      <c r="J33" s="332"/>
      <c r="K33" t="s">
        <v>1243</v>
      </c>
    </row>
    <row r="34" spans="1:14" ht="18" customHeight="1" x14ac:dyDescent="0.45">
      <c r="J34" s="11"/>
      <c r="K34" t="s">
        <v>81</v>
      </c>
    </row>
    <row r="35" spans="1:14" ht="18" customHeight="1" x14ac:dyDescent="0.45">
      <c r="J35" s="154"/>
      <c r="K35" t="s">
        <v>1140</v>
      </c>
    </row>
    <row r="36" spans="1:14" ht="18" customHeight="1" x14ac:dyDescent="0.45">
      <c r="A36" s="205" t="s">
        <v>880</v>
      </c>
      <c r="J36" s="146"/>
      <c r="K36" s="31" t="s">
        <v>1142</v>
      </c>
    </row>
    <row r="38" spans="1:14" ht="18" customHeight="1" x14ac:dyDescent="0.45">
      <c r="A38" s="837" t="s">
        <v>881</v>
      </c>
      <c r="B38" s="877" t="s">
        <v>882</v>
      </c>
      <c r="C38" s="877"/>
      <c r="D38" s="877"/>
      <c r="E38" s="877"/>
      <c r="F38" s="877"/>
      <c r="G38" s="235" t="s">
        <v>883</v>
      </c>
      <c r="H38" s="892"/>
      <c r="I38" s="893"/>
      <c r="J38" s="236" t="s">
        <v>884</v>
      </c>
      <c r="K38" s="884" t="s">
        <v>885</v>
      </c>
      <c r="L38" s="884"/>
      <c r="N38" s="894" t="s">
        <v>886</v>
      </c>
    </row>
    <row r="39" spans="1:14" ht="18" customHeight="1" x14ac:dyDescent="0.45">
      <c r="A39" s="838"/>
      <c r="B39" s="877" t="s">
        <v>887</v>
      </c>
      <c r="C39" s="877"/>
      <c r="D39" s="877"/>
      <c r="E39" s="877"/>
      <c r="F39" s="877"/>
      <c r="G39" s="235" t="s">
        <v>883</v>
      </c>
      <c r="H39" s="845">
        <f>H38*0.9</f>
        <v>0</v>
      </c>
      <c r="I39" s="846"/>
      <c r="J39" s="236" t="s">
        <v>888</v>
      </c>
      <c r="K39" s="890" t="s">
        <v>885</v>
      </c>
      <c r="L39" s="891"/>
      <c r="N39" s="894"/>
    </row>
    <row r="40" spans="1:14" ht="18" customHeight="1" x14ac:dyDescent="0.45">
      <c r="A40" s="838"/>
      <c r="B40" s="895" t="s">
        <v>889</v>
      </c>
      <c r="C40" s="896"/>
      <c r="D40" s="862" t="s">
        <v>890</v>
      </c>
      <c r="E40" s="863"/>
      <c r="F40" s="864"/>
      <c r="G40" s="235" t="s">
        <v>883</v>
      </c>
      <c r="H40" s="845">
        <f>H39</f>
        <v>0</v>
      </c>
      <c r="I40" s="846"/>
      <c r="J40" s="236" t="s">
        <v>891</v>
      </c>
      <c r="K40" s="890" t="s">
        <v>885</v>
      </c>
      <c r="L40" s="891"/>
      <c r="N40" s="894"/>
    </row>
    <row r="41" spans="1:14" ht="18" customHeight="1" x14ac:dyDescent="0.45">
      <c r="A41" s="838"/>
      <c r="B41" s="897"/>
      <c r="C41" s="898"/>
      <c r="D41" s="862" t="s">
        <v>892</v>
      </c>
      <c r="E41" s="863"/>
      <c r="F41" s="864"/>
      <c r="G41" s="235" t="s">
        <v>883</v>
      </c>
      <c r="H41" s="845">
        <f>H39*0.8*(1-0.55)+H39*(1-0.8)</f>
        <v>0</v>
      </c>
      <c r="I41" s="846"/>
      <c r="J41" s="236" t="s">
        <v>891</v>
      </c>
      <c r="K41" s="890" t="s">
        <v>885</v>
      </c>
      <c r="L41" s="891"/>
      <c r="N41" s="894"/>
    </row>
    <row r="42" spans="1:14" ht="18" customHeight="1" x14ac:dyDescent="0.45">
      <c r="A42" s="838"/>
      <c r="B42" s="877" t="s">
        <v>893</v>
      </c>
      <c r="C42" s="877"/>
      <c r="D42" s="877"/>
      <c r="E42" s="877"/>
      <c r="F42" s="877"/>
      <c r="G42" s="235" t="s">
        <v>894</v>
      </c>
      <c r="H42" s="845">
        <f>H39*0.01*0.8*500/24</f>
        <v>0</v>
      </c>
      <c r="I42" s="846"/>
      <c r="J42" s="236" t="s">
        <v>895</v>
      </c>
      <c r="K42" s="884" t="s">
        <v>896</v>
      </c>
      <c r="L42" s="884"/>
      <c r="N42" s="894"/>
    </row>
    <row r="43" spans="1:14" ht="18" customHeight="1" x14ac:dyDescent="0.45">
      <c r="A43" s="838"/>
      <c r="B43" s="877" t="s">
        <v>897</v>
      </c>
      <c r="C43" s="877"/>
      <c r="D43" s="877"/>
      <c r="E43" s="877"/>
      <c r="F43" s="877"/>
      <c r="G43" s="235" t="s">
        <v>898</v>
      </c>
      <c r="H43" s="845">
        <f>H39*0.01*0.8*500/2</f>
        <v>0</v>
      </c>
      <c r="I43" s="846"/>
      <c r="J43" s="236" t="s">
        <v>899</v>
      </c>
      <c r="K43" s="884" t="s">
        <v>900</v>
      </c>
      <c r="L43" s="884"/>
      <c r="N43" s="894"/>
    </row>
    <row r="44" spans="1:14" ht="18" customHeight="1" x14ac:dyDescent="0.45">
      <c r="A44" s="839"/>
      <c r="B44" s="877" t="s">
        <v>901</v>
      </c>
      <c r="C44" s="877"/>
      <c r="D44" s="877"/>
      <c r="E44" s="877"/>
      <c r="F44" s="877"/>
      <c r="G44" s="235" t="s">
        <v>902</v>
      </c>
      <c r="H44" s="845">
        <f>ROUNDUP(H39*0.01*0.8*500*21.5*0.32*1000/3600/24/25,0)*25</f>
        <v>0</v>
      </c>
      <c r="I44" s="846"/>
      <c r="J44" s="236" t="s">
        <v>903</v>
      </c>
      <c r="K44" s="884"/>
      <c r="L44" s="884"/>
      <c r="N44" s="894"/>
    </row>
    <row r="45" spans="1:14" ht="18" customHeight="1" x14ac:dyDescent="0.45">
      <c r="A45" s="886" t="s">
        <v>904</v>
      </c>
      <c r="B45" s="877" t="s">
        <v>905</v>
      </c>
      <c r="C45" s="877"/>
      <c r="D45" s="877"/>
      <c r="E45" s="877"/>
      <c r="F45" s="877"/>
      <c r="G45" s="235" t="s">
        <v>906</v>
      </c>
      <c r="H45" s="888">
        <f>H38*0.01</f>
        <v>0</v>
      </c>
      <c r="I45" s="889"/>
      <c r="J45" s="236" t="s">
        <v>907</v>
      </c>
      <c r="K45" s="884" t="s">
        <v>908</v>
      </c>
      <c r="L45" s="884"/>
      <c r="N45" s="894"/>
    </row>
    <row r="46" spans="1:14" ht="18" customHeight="1" x14ac:dyDescent="0.45">
      <c r="A46" s="887"/>
      <c r="B46" s="877" t="s">
        <v>909</v>
      </c>
      <c r="C46" s="877"/>
      <c r="D46" s="877"/>
      <c r="E46" s="877"/>
      <c r="F46" s="877"/>
      <c r="G46" s="235" t="s">
        <v>910</v>
      </c>
      <c r="H46" s="845">
        <f>H45*0.95*0.8*500</f>
        <v>0</v>
      </c>
      <c r="I46" s="846"/>
      <c r="J46" s="236" t="s">
        <v>911</v>
      </c>
      <c r="K46" s="884" t="s">
        <v>912</v>
      </c>
      <c r="L46" s="884"/>
      <c r="N46" s="894"/>
    </row>
    <row r="47" spans="1:14" ht="18" customHeight="1" x14ac:dyDescent="0.45">
      <c r="A47" s="887"/>
      <c r="B47" s="877" t="s">
        <v>889</v>
      </c>
      <c r="C47" s="877"/>
      <c r="D47" s="877"/>
      <c r="E47" s="877"/>
      <c r="F47" s="877"/>
      <c r="G47" s="235" t="s">
        <v>883</v>
      </c>
      <c r="H47" s="845">
        <f>H45/0.01*0.95*0.8*(1-0.55)+H45/0.01*0.95*(1-0.8)</f>
        <v>0</v>
      </c>
      <c r="I47" s="846"/>
      <c r="J47" s="236" t="s">
        <v>891</v>
      </c>
      <c r="K47" s="890" t="s">
        <v>885</v>
      </c>
      <c r="L47" s="891"/>
      <c r="N47" s="894"/>
    </row>
    <row r="48" spans="1:14" ht="18" customHeight="1" x14ac:dyDescent="0.45">
      <c r="B48" s="207"/>
      <c r="C48" s="207"/>
      <c r="D48" s="207"/>
      <c r="E48" s="207"/>
      <c r="F48" s="207"/>
      <c r="G48" s="206"/>
      <c r="K48" s="210"/>
      <c r="L48" s="210"/>
      <c r="N48" s="894"/>
    </row>
    <row r="49" spans="2:14" ht="18" customHeight="1" x14ac:dyDescent="0.45">
      <c r="B49" s="885" t="s">
        <v>913</v>
      </c>
      <c r="C49" s="885"/>
      <c r="D49" s="885"/>
      <c r="E49" s="885"/>
      <c r="F49" s="885"/>
      <c r="G49" s="206"/>
      <c r="K49" s="210"/>
      <c r="L49" s="210"/>
      <c r="N49" s="894"/>
    </row>
    <row r="50" spans="2:14" ht="18" customHeight="1" x14ac:dyDescent="0.45">
      <c r="B50" s="877" t="s">
        <v>914</v>
      </c>
      <c r="C50" s="877"/>
      <c r="D50" s="877"/>
      <c r="E50" s="877"/>
      <c r="F50" s="877"/>
      <c r="G50" s="237" t="s">
        <v>915</v>
      </c>
      <c r="H50" s="883">
        <v>16.5</v>
      </c>
      <c r="I50" s="883"/>
      <c r="J50" s="235" t="s">
        <v>916</v>
      </c>
      <c r="K50" s="879"/>
      <c r="L50" s="879"/>
      <c r="N50" s="894"/>
    </row>
    <row r="51" spans="2:14" ht="18" customHeight="1" x14ac:dyDescent="0.45">
      <c r="B51" s="877" t="s">
        <v>917</v>
      </c>
      <c r="C51" s="877"/>
      <c r="D51" s="877"/>
      <c r="E51" s="877"/>
      <c r="F51" s="877"/>
      <c r="G51" s="237" t="s">
        <v>918</v>
      </c>
      <c r="H51" s="883">
        <v>566</v>
      </c>
      <c r="I51" s="883"/>
      <c r="J51" s="235" t="s">
        <v>919</v>
      </c>
      <c r="K51" s="879"/>
      <c r="L51" s="879"/>
      <c r="N51" s="894"/>
    </row>
    <row r="52" spans="2:14" ht="18" customHeight="1" x14ac:dyDescent="0.45">
      <c r="B52" s="877" t="s">
        <v>920</v>
      </c>
      <c r="C52" s="877"/>
      <c r="D52" s="877"/>
      <c r="E52" s="877"/>
      <c r="F52" s="877"/>
      <c r="G52" s="237" t="s">
        <v>921</v>
      </c>
      <c r="H52" s="883">
        <v>309.10000000000002</v>
      </c>
      <c r="I52" s="883"/>
      <c r="J52" s="235" t="s">
        <v>922</v>
      </c>
      <c r="K52" s="879"/>
      <c r="L52" s="879"/>
      <c r="N52" s="894"/>
    </row>
    <row r="53" spans="2:14" ht="18" customHeight="1" x14ac:dyDescent="0.45">
      <c r="B53" s="877" t="s">
        <v>923</v>
      </c>
      <c r="C53" s="877"/>
      <c r="D53" s="877"/>
      <c r="E53" s="877"/>
      <c r="F53" s="877"/>
      <c r="G53" s="237" t="s">
        <v>918</v>
      </c>
      <c r="H53" s="883">
        <v>38.9</v>
      </c>
      <c r="I53" s="883"/>
      <c r="J53" s="235" t="s">
        <v>924</v>
      </c>
      <c r="K53" s="879"/>
      <c r="L53" s="879"/>
      <c r="N53" s="894"/>
    </row>
    <row r="54" spans="2:14" ht="18" customHeight="1" x14ac:dyDescent="0.45">
      <c r="B54" s="877" t="s">
        <v>925</v>
      </c>
      <c r="C54" s="877"/>
      <c r="D54" s="877"/>
      <c r="E54" s="877"/>
      <c r="F54" s="877"/>
      <c r="G54" s="237" t="s">
        <v>926</v>
      </c>
      <c r="H54" s="881">
        <v>7</v>
      </c>
      <c r="I54" s="881"/>
      <c r="J54" s="235" t="s">
        <v>927</v>
      </c>
      <c r="K54" s="879"/>
      <c r="L54" s="879"/>
      <c r="N54" s="894"/>
    </row>
    <row r="55" spans="2:14" ht="18" customHeight="1" x14ac:dyDescent="0.45">
      <c r="B55" s="877" t="s">
        <v>928</v>
      </c>
      <c r="C55" s="877"/>
      <c r="D55" s="877"/>
      <c r="E55" s="877"/>
      <c r="F55" s="877"/>
      <c r="G55" s="237" t="s">
        <v>929</v>
      </c>
      <c r="H55" s="882">
        <v>22000</v>
      </c>
      <c r="I55" s="882"/>
      <c r="J55" s="235" t="s">
        <v>930</v>
      </c>
      <c r="K55" s="879"/>
      <c r="L55" s="879"/>
      <c r="N55" s="894"/>
    </row>
    <row r="56" spans="2:14" ht="18" customHeight="1" x14ac:dyDescent="0.45">
      <c r="B56" s="207"/>
      <c r="C56" s="207"/>
      <c r="D56" s="207"/>
      <c r="E56" s="207"/>
      <c r="F56" s="207"/>
      <c r="G56" s="212"/>
      <c r="K56" s="210"/>
      <c r="L56" s="210"/>
      <c r="N56" s="894"/>
    </row>
    <row r="57" spans="2:14" ht="18" customHeight="1" x14ac:dyDescent="0.45">
      <c r="B57" s="207" t="s">
        <v>931</v>
      </c>
      <c r="C57" s="207"/>
      <c r="D57" s="207"/>
      <c r="E57" s="207"/>
      <c r="F57" s="207"/>
      <c r="G57" s="212"/>
      <c r="K57" s="210"/>
      <c r="L57" s="210"/>
      <c r="N57" s="894"/>
    </row>
    <row r="58" spans="2:14" ht="18" customHeight="1" x14ac:dyDescent="0.45">
      <c r="B58" s="877" t="s">
        <v>914</v>
      </c>
      <c r="C58" s="877"/>
      <c r="D58" s="877"/>
      <c r="E58" s="877"/>
      <c r="F58" s="877"/>
      <c r="G58" s="237" t="s">
        <v>932</v>
      </c>
      <c r="H58" s="878">
        <v>2.5000000000000001E-4</v>
      </c>
      <c r="I58" s="878"/>
      <c r="J58" s="235" t="s">
        <v>933</v>
      </c>
      <c r="K58" s="879"/>
      <c r="L58" s="879"/>
      <c r="N58" s="894"/>
    </row>
    <row r="59" spans="2:14" ht="18" customHeight="1" x14ac:dyDescent="0.45">
      <c r="B59" s="877" t="s">
        <v>934</v>
      </c>
      <c r="C59" s="877"/>
      <c r="D59" s="877"/>
      <c r="E59" s="877"/>
      <c r="F59" s="877"/>
      <c r="G59" s="237" t="s">
        <v>935</v>
      </c>
      <c r="H59" s="878">
        <v>6.5</v>
      </c>
      <c r="I59" s="878"/>
      <c r="J59" s="235" t="s">
        <v>936</v>
      </c>
      <c r="K59" s="879"/>
      <c r="L59" s="879"/>
      <c r="N59" s="894"/>
    </row>
    <row r="60" spans="2:14" ht="18" customHeight="1" x14ac:dyDescent="0.45">
      <c r="B60" s="877" t="s">
        <v>920</v>
      </c>
      <c r="C60" s="877"/>
      <c r="D60" s="877"/>
      <c r="E60" s="877"/>
      <c r="F60" s="877"/>
      <c r="G60" s="237" t="s">
        <v>937</v>
      </c>
      <c r="H60" s="880">
        <v>2E-3</v>
      </c>
      <c r="I60" s="880"/>
      <c r="J60" s="235" t="s">
        <v>938</v>
      </c>
      <c r="K60" s="879"/>
      <c r="L60" s="879"/>
      <c r="N60" s="894"/>
    </row>
    <row r="61" spans="2:14" ht="18" customHeight="1" x14ac:dyDescent="0.45">
      <c r="B61" s="877" t="s">
        <v>923</v>
      </c>
      <c r="C61" s="877"/>
      <c r="D61" s="877"/>
      <c r="E61" s="877"/>
      <c r="F61" s="877"/>
      <c r="G61" s="237" t="s">
        <v>935</v>
      </c>
      <c r="H61" s="878">
        <v>3.0800000000000001E-2</v>
      </c>
      <c r="I61" s="878"/>
      <c r="J61" s="235" t="s">
        <v>939</v>
      </c>
      <c r="K61" s="879"/>
      <c r="L61" s="879"/>
      <c r="N61" s="894"/>
    </row>
    <row r="62" spans="2:14" ht="18" customHeight="1" x14ac:dyDescent="0.45">
      <c r="B62" s="877" t="s">
        <v>940</v>
      </c>
      <c r="C62" s="877"/>
      <c r="D62" s="877"/>
      <c r="E62" s="877"/>
      <c r="F62" s="877"/>
      <c r="G62" s="237" t="s">
        <v>935</v>
      </c>
      <c r="H62" s="878">
        <v>0.26</v>
      </c>
      <c r="I62" s="878"/>
      <c r="J62" s="235" t="s">
        <v>941</v>
      </c>
      <c r="K62" s="879"/>
      <c r="L62" s="879"/>
      <c r="N62" s="894"/>
    </row>
    <row r="63" spans="2:14" ht="18" customHeight="1" x14ac:dyDescent="0.45">
      <c r="B63" s="877" t="s">
        <v>942</v>
      </c>
      <c r="C63" s="877"/>
      <c r="D63" s="877"/>
      <c r="E63" s="877"/>
      <c r="F63" s="877"/>
      <c r="G63" s="237" t="s">
        <v>943</v>
      </c>
      <c r="H63" s="878">
        <v>2.3199999999999998</v>
      </c>
      <c r="I63" s="878"/>
      <c r="J63" s="235" t="s">
        <v>944</v>
      </c>
      <c r="K63" s="879"/>
      <c r="L63" s="879"/>
      <c r="N63" s="894"/>
    </row>
    <row r="64" spans="2:14" ht="18" customHeight="1" x14ac:dyDescent="0.45">
      <c r="B64" s="207"/>
      <c r="C64" s="207"/>
      <c r="D64" s="207"/>
      <c r="E64" s="207"/>
      <c r="F64" s="207"/>
      <c r="G64" s="206"/>
      <c r="K64" s="210"/>
      <c r="L64" s="210"/>
      <c r="N64" s="894"/>
    </row>
    <row r="65" spans="1:14" ht="18" customHeight="1" x14ac:dyDescent="0.45">
      <c r="B65" s="207" t="s">
        <v>945</v>
      </c>
      <c r="C65" s="207"/>
      <c r="D65" s="207"/>
      <c r="E65" s="207"/>
      <c r="F65" s="207"/>
      <c r="G65" s="206"/>
      <c r="K65" s="210"/>
      <c r="L65" s="210"/>
      <c r="N65" s="213"/>
    </row>
    <row r="66" spans="1:14" ht="18" customHeight="1" x14ac:dyDescent="0.45">
      <c r="B66" s="871" t="s">
        <v>946</v>
      </c>
      <c r="C66" s="872"/>
      <c r="D66" s="872"/>
      <c r="E66" s="872"/>
      <c r="F66" s="873"/>
      <c r="G66" s="235" t="s">
        <v>947</v>
      </c>
      <c r="H66" s="871" t="s">
        <v>948</v>
      </c>
      <c r="I66" s="872"/>
      <c r="J66" s="873"/>
      <c r="K66" s="210"/>
      <c r="L66" s="210"/>
      <c r="N66" s="213"/>
    </row>
    <row r="67" spans="1:14" ht="18" customHeight="1" x14ac:dyDescent="0.45">
      <c r="B67" s="862" t="s">
        <v>949</v>
      </c>
      <c r="C67" s="863"/>
      <c r="D67" s="863"/>
      <c r="E67" s="863"/>
      <c r="F67" s="864"/>
      <c r="G67" s="235" t="s">
        <v>950</v>
      </c>
      <c r="H67" s="235" t="s">
        <v>951</v>
      </c>
      <c r="I67" s="235" t="s">
        <v>952</v>
      </c>
      <c r="J67" s="874">
        <v>110.5</v>
      </c>
      <c r="K67" s="210"/>
      <c r="L67" s="210"/>
      <c r="N67" s="213"/>
    </row>
    <row r="68" spans="1:14" ht="18" customHeight="1" x14ac:dyDescent="0.45">
      <c r="B68" s="862" t="s">
        <v>953</v>
      </c>
      <c r="C68" s="863"/>
      <c r="D68" s="863"/>
      <c r="E68" s="863"/>
      <c r="F68" s="864"/>
      <c r="G68" s="235" t="s">
        <v>950</v>
      </c>
      <c r="H68" s="235" t="s">
        <v>954</v>
      </c>
      <c r="I68" s="235" t="s">
        <v>952</v>
      </c>
      <c r="J68" s="875"/>
      <c r="K68" s="210"/>
      <c r="L68" s="210"/>
      <c r="N68" s="213"/>
    </row>
    <row r="69" spans="1:14" ht="18" customHeight="1" x14ac:dyDescent="0.45">
      <c r="B69" s="862" t="s">
        <v>955</v>
      </c>
      <c r="C69" s="863"/>
      <c r="D69" s="863"/>
      <c r="E69" s="863"/>
      <c r="F69" s="864"/>
      <c r="G69" s="235" t="s">
        <v>950</v>
      </c>
      <c r="H69" s="235" t="s">
        <v>956</v>
      </c>
      <c r="I69" s="235" t="s">
        <v>952</v>
      </c>
      <c r="J69" s="876"/>
      <c r="K69" s="210"/>
      <c r="L69" s="210"/>
      <c r="N69" s="213"/>
    </row>
    <row r="70" spans="1:14" ht="18" customHeight="1" x14ac:dyDescent="0.45">
      <c r="B70" s="207"/>
      <c r="C70" s="207"/>
      <c r="D70" s="207"/>
      <c r="E70" s="207"/>
      <c r="F70" s="207"/>
      <c r="G70" s="206"/>
      <c r="K70" s="210"/>
      <c r="L70" s="210"/>
      <c r="N70" s="213"/>
    </row>
    <row r="71" spans="1:14" ht="18" customHeight="1" x14ac:dyDescent="0.45">
      <c r="B71" s="207" t="s">
        <v>957</v>
      </c>
      <c r="C71" s="207"/>
      <c r="D71" s="207"/>
      <c r="E71" s="207"/>
      <c r="F71" s="207"/>
      <c r="G71" s="206"/>
      <c r="K71" s="210"/>
      <c r="L71" s="210"/>
      <c r="N71" s="213"/>
    </row>
    <row r="72" spans="1:14" ht="18" customHeight="1" x14ac:dyDescent="0.45">
      <c r="B72" s="862" t="s">
        <v>958</v>
      </c>
      <c r="C72" s="863"/>
      <c r="D72" s="863"/>
      <c r="E72" s="863"/>
      <c r="F72" s="864"/>
      <c r="G72" s="238" t="s">
        <v>959</v>
      </c>
      <c r="H72" s="858">
        <v>2.2999999999999998</v>
      </c>
      <c r="I72" s="859"/>
      <c r="J72" s="235" t="s">
        <v>960</v>
      </c>
      <c r="K72" s="210"/>
      <c r="L72" s="210"/>
      <c r="N72" s="213"/>
    </row>
    <row r="73" spans="1:14" ht="18" customHeight="1" x14ac:dyDescent="0.45">
      <c r="B73" s="865" t="s">
        <v>961</v>
      </c>
      <c r="C73" s="868" t="s">
        <v>962</v>
      </c>
      <c r="D73" s="239" t="s">
        <v>963</v>
      </c>
      <c r="E73" s="240"/>
      <c r="F73" s="241"/>
      <c r="G73" s="842" t="s">
        <v>964</v>
      </c>
      <c r="H73" s="858">
        <v>20</v>
      </c>
      <c r="I73" s="859"/>
      <c r="J73" s="842" t="s">
        <v>965</v>
      </c>
      <c r="K73" s="210"/>
      <c r="L73" s="210"/>
      <c r="N73" s="213"/>
    </row>
    <row r="74" spans="1:14" ht="18" customHeight="1" x14ac:dyDescent="0.45">
      <c r="B74" s="866"/>
      <c r="C74" s="869"/>
      <c r="D74" s="239" t="s">
        <v>966</v>
      </c>
      <c r="E74" s="240"/>
      <c r="F74" s="241"/>
      <c r="G74" s="843"/>
      <c r="H74" s="858">
        <v>15</v>
      </c>
      <c r="I74" s="859"/>
      <c r="J74" s="843"/>
      <c r="K74" s="210"/>
      <c r="L74" s="210"/>
      <c r="N74" s="213"/>
    </row>
    <row r="75" spans="1:14" ht="18" customHeight="1" x14ac:dyDescent="0.45">
      <c r="B75" s="866"/>
      <c r="C75" s="870"/>
      <c r="D75" s="239" t="s">
        <v>967</v>
      </c>
      <c r="E75" s="240"/>
      <c r="F75" s="241"/>
      <c r="G75" s="843"/>
      <c r="H75" s="858">
        <v>45</v>
      </c>
      <c r="I75" s="859"/>
      <c r="J75" s="843"/>
      <c r="K75" s="210"/>
      <c r="L75" s="210"/>
      <c r="N75" s="213"/>
    </row>
    <row r="76" spans="1:14" ht="18" customHeight="1" x14ac:dyDescent="0.45">
      <c r="B76" s="866"/>
      <c r="C76" s="860" t="s">
        <v>968</v>
      </c>
      <c r="D76" s="239" t="s">
        <v>969</v>
      </c>
      <c r="E76" s="240"/>
      <c r="F76" s="241"/>
      <c r="G76" s="843"/>
      <c r="H76" s="858">
        <v>15</v>
      </c>
      <c r="I76" s="859"/>
      <c r="J76" s="843"/>
      <c r="K76" s="210"/>
      <c r="L76" s="210"/>
      <c r="N76" s="213"/>
    </row>
    <row r="77" spans="1:14" ht="18" customHeight="1" x14ac:dyDescent="0.45">
      <c r="B77" s="867"/>
      <c r="C77" s="861"/>
      <c r="D77" s="239" t="s">
        <v>967</v>
      </c>
      <c r="E77" s="240"/>
      <c r="F77" s="241"/>
      <c r="G77" s="844"/>
      <c r="H77" s="858">
        <v>50</v>
      </c>
      <c r="I77" s="859"/>
      <c r="J77" s="844"/>
      <c r="K77" s="210"/>
      <c r="L77" s="210"/>
      <c r="N77" s="213"/>
    </row>
    <row r="78" spans="1:14" ht="18" customHeight="1" x14ac:dyDescent="0.45">
      <c r="K78" s="210"/>
      <c r="L78" s="210"/>
      <c r="N78" s="213"/>
    </row>
    <row r="79" spans="1:14" ht="18" customHeight="1" x14ac:dyDescent="0.45">
      <c r="K79" s="210"/>
      <c r="L79" s="210"/>
      <c r="N79" s="213"/>
    </row>
    <row r="80" spans="1:14" ht="18" customHeight="1" x14ac:dyDescent="0.45">
      <c r="A80" s="205" t="s">
        <v>970</v>
      </c>
    </row>
    <row r="81" spans="11:14" ht="18" customHeight="1" x14ac:dyDescent="0.45">
      <c r="K81" s="210"/>
      <c r="L81" s="210"/>
      <c r="N81" s="213"/>
    </row>
    <row r="82" spans="11:14" ht="18" customHeight="1" x14ac:dyDescent="0.45">
      <c r="K82" s="210"/>
      <c r="L82" s="210"/>
      <c r="N82" s="213"/>
    </row>
    <row r="83" spans="11:14" ht="18" customHeight="1" x14ac:dyDescent="0.45">
      <c r="K83" s="210"/>
      <c r="L83" s="210"/>
      <c r="N83" s="213"/>
    </row>
    <row r="84" spans="11:14" ht="18" customHeight="1" x14ac:dyDescent="0.45">
      <c r="K84" s="210"/>
      <c r="L84" s="210"/>
      <c r="N84" s="213"/>
    </row>
    <row r="85" spans="11:14" ht="18" customHeight="1" x14ac:dyDescent="0.45">
      <c r="K85" s="210"/>
      <c r="L85" s="210"/>
      <c r="N85" s="213"/>
    </row>
    <row r="86" spans="11:14" ht="18" customHeight="1" x14ac:dyDescent="0.45">
      <c r="K86" s="210"/>
      <c r="L86" s="210"/>
      <c r="N86" s="213"/>
    </row>
    <row r="87" spans="11:14" ht="18" customHeight="1" x14ac:dyDescent="0.45">
      <c r="K87" s="210"/>
      <c r="L87" s="210"/>
      <c r="N87" s="213"/>
    </row>
    <row r="88" spans="11:14" ht="18" customHeight="1" x14ac:dyDescent="0.45">
      <c r="K88" s="210"/>
      <c r="L88" s="210"/>
      <c r="N88" s="213"/>
    </row>
    <row r="89" spans="11:14" ht="18" customHeight="1" x14ac:dyDescent="0.45">
      <c r="K89" s="210"/>
      <c r="L89" s="210"/>
      <c r="N89" s="213"/>
    </row>
    <row r="90" spans="11:14" ht="18" customHeight="1" x14ac:dyDescent="0.45">
      <c r="K90" s="210"/>
      <c r="L90" s="210"/>
      <c r="N90" s="213"/>
    </row>
    <row r="91" spans="11:14" ht="18" customHeight="1" x14ac:dyDescent="0.45">
      <c r="K91" s="210"/>
      <c r="L91" s="210"/>
      <c r="N91" s="213"/>
    </row>
    <row r="92" spans="11:14" ht="18" customHeight="1" x14ac:dyDescent="0.45">
      <c r="K92" s="210"/>
      <c r="L92" s="210"/>
      <c r="N92" s="213"/>
    </row>
    <row r="93" spans="11:14" ht="18" customHeight="1" x14ac:dyDescent="0.45">
      <c r="K93" s="210"/>
      <c r="L93" s="210"/>
      <c r="N93" s="213"/>
    </row>
    <row r="94" spans="11:14" ht="18" customHeight="1" x14ac:dyDescent="0.45">
      <c r="K94" s="210"/>
      <c r="L94" s="210"/>
      <c r="N94" s="213"/>
    </row>
    <row r="95" spans="11:14" ht="18" customHeight="1" x14ac:dyDescent="0.45">
      <c r="K95" s="210"/>
      <c r="L95" s="210"/>
      <c r="N95" s="213"/>
    </row>
    <row r="96" spans="11:14" ht="18" customHeight="1" x14ac:dyDescent="0.45">
      <c r="K96" s="210"/>
      <c r="L96" s="210"/>
      <c r="N96" s="213"/>
    </row>
    <row r="97" spans="1:14" ht="18" customHeight="1" x14ac:dyDescent="0.45">
      <c r="K97" s="210"/>
      <c r="L97" s="210"/>
      <c r="N97" s="213"/>
    </row>
    <row r="98" spans="1:14" ht="18" customHeight="1" x14ac:dyDescent="0.45">
      <c r="K98" s="210"/>
      <c r="L98" s="210"/>
      <c r="N98" s="213"/>
    </row>
    <row r="99" spans="1:14" ht="18" customHeight="1" x14ac:dyDescent="0.45">
      <c r="K99" s="210"/>
      <c r="L99" s="210"/>
      <c r="N99" s="213"/>
    </row>
    <row r="100" spans="1:14" ht="18" customHeight="1" x14ac:dyDescent="0.45">
      <c r="K100" s="210"/>
      <c r="L100" s="210"/>
      <c r="N100" s="213"/>
    </row>
    <row r="101" spans="1:14" ht="18" customHeight="1" x14ac:dyDescent="0.45">
      <c r="K101" s="210"/>
      <c r="L101" s="210"/>
      <c r="N101" s="213"/>
    </row>
    <row r="102" spans="1:14" ht="18" customHeight="1" x14ac:dyDescent="0.45">
      <c r="K102" s="210"/>
      <c r="L102" s="210"/>
      <c r="N102" s="213"/>
    </row>
    <row r="103" spans="1:14" ht="18" customHeight="1" x14ac:dyDescent="0.45">
      <c r="K103" s="210"/>
      <c r="L103" s="210"/>
      <c r="N103" s="213"/>
    </row>
    <row r="104" spans="1:14" ht="18" customHeight="1" x14ac:dyDescent="0.45">
      <c r="K104" s="210"/>
      <c r="L104" s="210"/>
      <c r="N104" s="213"/>
    </row>
    <row r="105" spans="1:14" ht="18" customHeight="1" x14ac:dyDescent="0.45">
      <c r="K105" s="210"/>
      <c r="L105" s="210"/>
      <c r="N105" s="213"/>
    </row>
    <row r="106" spans="1:14" ht="18" customHeight="1" x14ac:dyDescent="0.45">
      <c r="K106" s="210"/>
      <c r="L106" s="210"/>
      <c r="N106" s="213"/>
    </row>
    <row r="107" spans="1:14" ht="18" customHeight="1" x14ac:dyDescent="0.45">
      <c r="K107" s="210"/>
      <c r="L107" s="210"/>
      <c r="N107" s="213"/>
    </row>
    <row r="108" spans="1:14" ht="18" customHeight="1" x14ac:dyDescent="0.45">
      <c r="K108" s="210"/>
      <c r="L108" s="210"/>
      <c r="N108" s="213"/>
    </row>
    <row r="109" spans="1:14" ht="18" customHeight="1" x14ac:dyDescent="0.45">
      <c r="A109" s="234" t="s">
        <v>971</v>
      </c>
      <c r="K109" s="210"/>
      <c r="L109" s="210"/>
      <c r="N109" s="213"/>
    </row>
    <row r="110" spans="1:14" ht="18" customHeight="1" x14ac:dyDescent="0.45">
      <c r="K110" s="210"/>
      <c r="L110" s="210"/>
      <c r="N110" s="213"/>
    </row>
    <row r="111" spans="1:14" ht="18" customHeight="1" x14ac:dyDescent="0.45">
      <c r="A111" s="837" t="s">
        <v>881</v>
      </c>
      <c r="B111" s="847" t="s">
        <v>972</v>
      </c>
      <c r="C111" s="848"/>
      <c r="D111" s="841" t="s">
        <v>890</v>
      </c>
      <c r="E111" s="841"/>
      <c r="F111" s="841" t="s">
        <v>973</v>
      </c>
      <c r="G111" s="845">
        <f>K156+J195</f>
        <v>0</v>
      </c>
      <c r="H111" s="846"/>
      <c r="K111" s="210"/>
      <c r="L111" s="210"/>
      <c r="N111" s="213"/>
    </row>
    <row r="112" spans="1:14" ht="18" customHeight="1" x14ac:dyDescent="0.45">
      <c r="A112" s="838"/>
      <c r="B112" s="849"/>
      <c r="C112" s="850"/>
      <c r="D112" s="841" t="s">
        <v>974</v>
      </c>
      <c r="E112" s="841"/>
      <c r="F112" s="841"/>
      <c r="G112" s="845">
        <f>K157+J196</f>
        <v>0</v>
      </c>
      <c r="H112" s="846"/>
      <c r="K112" s="210"/>
      <c r="L112" s="210"/>
      <c r="N112" s="213"/>
    </row>
    <row r="113" spans="1:14" ht="18" customHeight="1" x14ac:dyDescent="0.45">
      <c r="A113" s="838"/>
      <c r="B113" s="849"/>
      <c r="C113" s="850"/>
      <c r="D113" s="841" t="s">
        <v>975</v>
      </c>
      <c r="E113" s="841"/>
      <c r="F113" s="841"/>
      <c r="G113" s="845">
        <f>K158+J197</f>
        <v>0.20287369714020026</v>
      </c>
      <c r="H113" s="846"/>
      <c r="K113" s="210"/>
      <c r="L113" s="210"/>
      <c r="N113" s="213"/>
    </row>
    <row r="114" spans="1:14" ht="18" customHeight="1" x14ac:dyDescent="0.45">
      <c r="A114" s="838"/>
      <c r="B114" s="851"/>
      <c r="C114" s="852"/>
      <c r="D114" s="841" t="s">
        <v>976</v>
      </c>
      <c r="E114" s="841"/>
      <c r="F114" s="841"/>
      <c r="G114" s="845">
        <f>K159+J198</f>
        <v>0</v>
      </c>
      <c r="H114" s="846"/>
      <c r="K114" s="210"/>
      <c r="L114" s="210"/>
      <c r="N114" s="213"/>
    </row>
    <row r="115" spans="1:14" ht="18" customHeight="1" x14ac:dyDescent="0.45">
      <c r="A115" s="838"/>
      <c r="B115" s="847" t="s">
        <v>977</v>
      </c>
      <c r="C115" s="853"/>
      <c r="D115" s="841" t="s">
        <v>890</v>
      </c>
      <c r="E115" s="841"/>
      <c r="F115" s="841" t="s">
        <v>978</v>
      </c>
      <c r="G115" s="845">
        <f>J230</f>
        <v>0</v>
      </c>
      <c r="H115" s="846"/>
      <c r="K115" s="210"/>
      <c r="L115" s="210"/>
      <c r="N115" s="213"/>
    </row>
    <row r="116" spans="1:14" ht="18" customHeight="1" x14ac:dyDescent="0.45">
      <c r="A116" s="838"/>
      <c r="B116" s="854"/>
      <c r="C116" s="855"/>
      <c r="D116" s="841" t="s">
        <v>974</v>
      </c>
      <c r="E116" s="841"/>
      <c r="F116" s="841"/>
      <c r="G116" s="845">
        <f t="shared" ref="G116:G118" si="0">J231</f>
        <v>0</v>
      </c>
      <c r="H116" s="846"/>
      <c r="K116" s="210"/>
      <c r="L116" s="210"/>
      <c r="N116" s="213"/>
    </row>
    <row r="117" spans="1:14" ht="18" customHeight="1" x14ac:dyDescent="0.45">
      <c r="A117" s="838"/>
      <c r="B117" s="854"/>
      <c r="C117" s="855"/>
      <c r="D117" s="841" t="s">
        <v>975</v>
      </c>
      <c r="E117" s="841"/>
      <c r="F117" s="841"/>
      <c r="G117" s="845">
        <f t="shared" si="0"/>
        <v>0</v>
      </c>
      <c r="H117" s="846"/>
      <c r="K117" s="210"/>
      <c r="L117" s="210"/>
      <c r="N117" s="213"/>
    </row>
    <row r="118" spans="1:14" ht="18" customHeight="1" x14ac:dyDescent="0.45">
      <c r="A118" s="838"/>
      <c r="B118" s="856"/>
      <c r="C118" s="857"/>
      <c r="D118" s="841" t="s">
        <v>976</v>
      </c>
      <c r="E118" s="841"/>
      <c r="F118" s="841"/>
      <c r="G118" s="845">
        <f t="shared" si="0"/>
        <v>0</v>
      </c>
      <c r="H118" s="846"/>
      <c r="K118" s="210"/>
      <c r="L118" s="210"/>
      <c r="N118" s="213"/>
    </row>
    <row r="119" spans="1:14" ht="18" customHeight="1" x14ac:dyDescent="0.45">
      <c r="A119" s="838"/>
      <c r="B119" s="847" t="s">
        <v>979</v>
      </c>
      <c r="C119" s="853"/>
      <c r="D119" s="841" t="s">
        <v>890</v>
      </c>
      <c r="E119" s="841"/>
      <c r="F119" s="841" t="s">
        <v>980</v>
      </c>
      <c r="G119" s="845">
        <f>J260</f>
        <v>0</v>
      </c>
      <c r="H119" s="846"/>
      <c r="K119" s="210"/>
      <c r="L119" s="210"/>
      <c r="N119" s="213"/>
    </row>
    <row r="120" spans="1:14" ht="18" customHeight="1" x14ac:dyDescent="0.45">
      <c r="A120" s="838"/>
      <c r="B120" s="854"/>
      <c r="C120" s="855"/>
      <c r="D120" s="841" t="s">
        <v>974</v>
      </c>
      <c r="E120" s="841"/>
      <c r="F120" s="841"/>
      <c r="G120" s="845">
        <f t="shared" ref="G120:G122" si="1">J261</f>
        <v>0</v>
      </c>
      <c r="H120" s="846"/>
      <c r="K120" s="210"/>
      <c r="L120" s="210"/>
    </row>
    <row r="121" spans="1:14" ht="18" customHeight="1" x14ac:dyDescent="0.45">
      <c r="A121" s="838"/>
      <c r="B121" s="854"/>
      <c r="C121" s="855"/>
      <c r="D121" s="841" t="s">
        <v>975</v>
      </c>
      <c r="E121" s="841"/>
      <c r="F121" s="841"/>
      <c r="G121" s="845">
        <f t="shared" si="1"/>
        <v>0</v>
      </c>
      <c r="H121" s="846"/>
      <c r="K121" s="210"/>
      <c r="L121" s="210"/>
    </row>
    <row r="122" spans="1:14" ht="18" customHeight="1" x14ac:dyDescent="0.45">
      <c r="A122" s="839"/>
      <c r="B122" s="856"/>
      <c r="C122" s="857"/>
      <c r="D122" s="841" t="s">
        <v>976</v>
      </c>
      <c r="E122" s="841"/>
      <c r="F122" s="841"/>
      <c r="G122" s="845">
        <f t="shared" si="1"/>
        <v>0</v>
      </c>
      <c r="H122" s="846"/>
      <c r="K122" s="210"/>
      <c r="L122" s="210"/>
    </row>
    <row r="123" spans="1:14" ht="18" customHeight="1" x14ac:dyDescent="0.45">
      <c r="A123" s="837" t="s">
        <v>981</v>
      </c>
      <c r="B123" s="847" t="s">
        <v>972</v>
      </c>
      <c r="C123" s="848"/>
      <c r="D123" s="841" t="s">
        <v>982</v>
      </c>
      <c r="E123" s="841"/>
      <c r="F123" s="842" t="s">
        <v>973</v>
      </c>
      <c r="G123" s="845">
        <f>K173+J214</f>
        <v>11.3</v>
      </c>
      <c r="H123" s="846"/>
      <c r="K123" s="210"/>
      <c r="L123" s="210"/>
    </row>
    <row r="124" spans="1:14" ht="18" customHeight="1" x14ac:dyDescent="0.45">
      <c r="A124" s="838"/>
      <c r="B124" s="849"/>
      <c r="C124" s="850"/>
      <c r="D124" s="841" t="s">
        <v>983</v>
      </c>
      <c r="E124" s="841"/>
      <c r="F124" s="843"/>
      <c r="G124" s="845">
        <f>K174+J215</f>
        <v>42.80005875103631</v>
      </c>
      <c r="H124" s="846"/>
      <c r="K124" s="210"/>
      <c r="L124" s="210"/>
    </row>
    <row r="125" spans="1:14" ht="18" customHeight="1" x14ac:dyDescent="0.45">
      <c r="A125" s="838"/>
      <c r="B125" s="851"/>
      <c r="C125" s="852"/>
      <c r="D125" s="841" t="s">
        <v>984</v>
      </c>
      <c r="E125" s="841"/>
      <c r="F125" s="844"/>
      <c r="G125" s="845">
        <f>K175+J216</f>
        <v>7</v>
      </c>
      <c r="H125" s="846"/>
      <c r="K125" s="210"/>
      <c r="L125" s="210"/>
    </row>
    <row r="126" spans="1:14" ht="18" customHeight="1" x14ac:dyDescent="0.45">
      <c r="A126" s="838"/>
      <c r="B126" s="840" t="s">
        <v>977</v>
      </c>
      <c r="C126" s="840"/>
      <c r="D126" s="841" t="s">
        <v>982</v>
      </c>
      <c r="E126" s="841"/>
      <c r="F126" s="842" t="s">
        <v>978</v>
      </c>
      <c r="G126" s="845">
        <f>J242</f>
        <v>0</v>
      </c>
      <c r="H126" s="846"/>
      <c r="K126" s="210"/>
      <c r="L126" s="210"/>
    </row>
    <row r="127" spans="1:14" ht="18" customHeight="1" x14ac:dyDescent="0.45">
      <c r="A127" s="838"/>
      <c r="B127" s="840"/>
      <c r="C127" s="840"/>
      <c r="D127" s="841" t="s">
        <v>983</v>
      </c>
      <c r="E127" s="841"/>
      <c r="F127" s="843"/>
      <c r="G127" s="845">
        <f t="shared" ref="G127:G128" si="2">J243</f>
        <v>-496.2</v>
      </c>
      <c r="H127" s="846"/>
      <c r="K127" s="210"/>
      <c r="L127" s="210"/>
    </row>
    <row r="128" spans="1:14" ht="18" customHeight="1" x14ac:dyDescent="0.45">
      <c r="A128" s="838"/>
      <c r="B128" s="840"/>
      <c r="C128" s="840"/>
      <c r="D128" s="841" t="s">
        <v>984</v>
      </c>
      <c r="E128" s="841"/>
      <c r="F128" s="844"/>
      <c r="G128" s="845">
        <f t="shared" si="2"/>
        <v>0</v>
      </c>
      <c r="H128" s="846"/>
      <c r="K128" s="210"/>
      <c r="L128" s="210"/>
    </row>
    <row r="129" spans="1:13" ht="18" customHeight="1" x14ac:dyDescent="0.45">
      <c r="A129" s="838"/>
      <c r="B129" s="840" t="s">
        <v>979</v>
      </c>
      <c r="C129" s="840"/>
      <c r="D129" s="841" t="s">
        <v>982</v>
      </c>
      <c r="E129" s="841"/>
      <c r="F129" s="842" t="s">
        <v>980</v>
      </c>
      <c r="G129" s="845">
        <f>J277</f>
        <v>27.6</v>
      </c>
      <c r="H129" s="846"/>
      <c r="K129" s="210"/>
      <c r="L129" s="210"/>
    </row>
    <row r="130" spans="1:13" ht="18" customHeight="1" x14ac:dyDescent="0.45">
      <c r="A130" s="838"/>
      <c r="B130" s="840"/>
      <c r="C130" s="840"/>
      <c r="D130" s="841" t="s">
        <v>983</v>
      </c>
      <c r="E130" s="841"/>
      <c r="F130" s="843"/>
      <c r="G130" s="845">
        <f t="shared" ref="G130" si="3">J278</f>
        <v>23.1</v>
      </c>
      <c r="H130" s="846"/>
      <c r="K130" s="210"/>
      <c r="L130" s="210"/>
    </row>
    <row r="131" spans="1:13" ht="18" customHeight="1" x14ac:dyDescent="0.45">
      <c r="A131" s="839"/>
      <c r="B131" s="840"/>
      <c r="C131" s="840"/>
      <c r="D131" s="841" t="s">
        <v>984</v>
      </c>
      <c r="E131" s="841"/>
      <c r="F131" s="844"/>
      <c r="G131" s="845">
        <f>J279</f>
        <v>0</v>
      </c>
      <c r="H131" s="846"/>
      <c r="K131" s="210"/>
      <c r="L131" s="210"/>
    </row>
    <row r="132" spans="1:13" ht="18" customHeight="1" x14ac:dyDescent="0.45">
      <c r="A132" s="214"/>
      <c r="B132" s="215"/>
      <c r="C132" s="215"/>
      <c r="G132" s="216"/>
      <c r="H132" s="216"/>
      <c r="K132" s="210"/>
      <c r="L132" s="210"/>
    </row>
    <row r="133" spans="1:13" ht="18" customHeight="1" x14ac:dyDescent="0.45">
      <c r="A133" s="214"/>
      <c r="B133" s="215"/>
      <c r="C133" s="215"/>
      <c r="G133" s="216"/>
      <c r="H133" s="216"/>
      <c r="K133" s="210"/>
      <c r="L133" s="210"/>
    </row>
    <row r="134" spans="1:13" ht="18" customHeight="1" x14ac:dyDescent="0.45">
      <c r="A134" s="214"/>
      <c r="B134" s="215"/>
      <c r="C134" s="215"/>
      <c r="G134" s="216"/>
      <c r="H134" s="216"/>
      <c r="K134" s="210"/>
      <c r="L134" s="210"/>
    </row>
    <row r="135" spans="1:13" ht="18" customHeight="1" x14ac:dyDescent="0.45">
      <c r="A135" s="205" t="s">
        <v>985</v>
      </c>
      <c r="I135" s="206"/>
      <c r="K135" s="210"/>
      <c r="L135" s="210"/>
    </row>
    <row r="136" spans="1:13" ht="18" customHeight="1" x14ac:dyDescent="0.45">
      <c r="K136" s="210"/>
      <c r="L136" s="210"/>
    </row>
    <row r="137" spans="1:13" ht="32.25" customHeight="1" x14ac:dyDescent="0.45">
      <c r="A137" s="217" t="s">
        <v>986</v>
      </c>
      <c r="B137" s="742" t="s">
        <v>987</v>
      </c>
      <c r="C137" s="740"/>
      <c r="D137" s="740"/>
      <c r="E137" s="741"/>
      <c r="F137" s="217" t="s">
        <v>988</v>
      </c>
      <c r="G137" s="742" t="s">
        <v>989</v>
      </c>
      <c r="H137" s="740"/>
      <c r="I137" s="741"/>
      <c r="J137" s="218" t="s">
        <v>990</v>
      </c>
      <c r="K137" s="218" t="s">
        <v>991</v>
      </c>
      <c r="L137" s="826" t="s">
        <v>992</v>
      </c>
      <c r="M137" s="827"/>
    </row>
    <row r="138" spans="1:13" ht="18" customHeight="1" x14ac:dyDescent="0.45">
      <c r="A138" s="797" t="s">
        <v>881</v>
      </c>
      <c r="B138" s="732" t="s">
        <v>993</v>
      </c>
      <c r="C138" s="732" t="s">
        <v>994</v>
      </c>
      <c r="D138" s="732"/>
      <c r="E138" s="211" t="s">
        <v>995</v>
      </c>
      <c r="F138" s="766" t="s">
        <v>996</v>
      </c>
      <c r="G138" s="828" t="s">
        <v>997</v>
      </c>
      <c r="H138" s="829"/>
      <c r="I138" s="830"/>
      <c r="J138" s="219">
        <f>0.0131*(0.5*H38)^0.611*100</f>
        <v>0</v>
      </c>
      <c r="K138" s="220">
        <f>J138*$H$72%*(1+$H$72%)^$H$76/((1+$H$72%)^$H$76-1)*($J$67/92.7)</f>
        <v>0</v>
      </c>
      <c r="L138" s="831" t="s">
        <v>949</v>
      </c>
      <c r="M138" s="832"/>
    </row>
    <row r="139" spans="1:13" ht="18" customHeight="1" x14ac:dyDescent="0.45">
      <c r="A139" s="798"/>
      <c r="B139" s="732"/>
      <c r="C139" s="732"/>
      <c r="D139" s="732"/>
      <c r="E139" s="211" t="s">
        <v>967</v>
      </c>
      <c r="F139" s="744"/>
      <c r="G139" s="828" t="s">
        <v>998</v>
      </c>
      <c r="H139" s="829"/>
      <c r="I139" s="830"/>
      <c r="J139" s="219">
        <f>0.0124*(0.5*H38)^0.598*100</f>
        <v>0</v>
      </c>
      <c r="K139" s="220">
        <f>J139*$H$72%*(1+$H$72%)^$H$77/((1+$H$72%)^$H$77-1)*($J$67/92.7)</f>
        <v>0</v>
      </c>
      <c r="L139" s="833"/>
      <c r="M139" s="834"/>
    </row>
    <row r="140" spans="1:13" ht="18" customHeight="1" x14ac:dyDescent="0.45">
      <c r="A140" s="798"/>
      <c r="B140" s="732"/>
      <c r="C140" s="732" t="s">
        <v>999</v>
      </c>
      <c r="D140" s="732"/>
      <c r="E140" s="211" t="s">
        <v>995</v>
      </c>
      <c r="F140" s="744"/>
      <c r="G140" s="828" t="s">
        <v>1000</v>
      </c>
      <c r="H140" s="829"/>
      <c r="I140" s="830"/>
      <c r="J140" s="219">
        <f>0.438*(0.5*H38)^0.422*100</f>
        <v>0</v>
      </c>
      <c r="K140" s="220">
        <f>J140*$H$72%*(1+$H$72%)^$H$76/((1+$H$72%)^$H$76-1)*($J$67/92.7)</f>
        <v>0</v>
      </c>
      <c r="L140" s="833"/>
      <c r="M140" s="834"/>
    </row>
    <row r="141" spans="1:13" ht="18" customHeight="1" x14ac:dyDescent="0.45">
      <c r="A141" s="798"/>
      <c r="B141" s="732"/>
      <c r="C141" s="732"/>
      <c r="D141" s="732"/>
      <c r="E141" s="211" t="s">
        <v>967</v>
      </c>
      <c r="F141" s="744"/>
      <c r="G141" s="828" t="s">
        <v>1001</v>
      </c>
      <c r="H141" s="829"/>
      <c r="I141" s="830"/>
      <c r="J141" s="219">
        <f>0.34*(0.5*H38)^0.259*100</f>
        <v>0</v>
      </c>
      <c r="K141" s="220">
        <f>J141*$H$72%*(1+$H$72%)^$H$77/((1+$H$72%)^$H$77-1)*($J$67/92.7)</f>
        <v>0</v>
      </c>
      <c r="L141" s="833"/>
      <c r="M141" s="834"/>
    </row>
    <row r="142" spans="1:13" ht="18" customHeight="1" x14ac:dyDescent="0.45">
      <c r="A142" s="798"/>
      <c r="B142" s="732" t="s">
        <v>962</v>
      </c>
      <c r="C142" s="736" t="s">
        <v>1002</v>
      </c>
      <c r="D142" s="736"/>
      <c r="E142" s="211" t="s">
        <v>995</v>
      </c>
      <c r="F142" s="744"/>
      <c r="G142" s="828" t="s">
        <v>1003</v>
      </c>
      <c r="H142" s="829"/>
      <c r="I142" s="830"/>
      <c r="J142" s="219">
        <f>0.516*H39^0.385*100</f>
        <v>0</v>
      </c>
      <c r="K142" s="220">
        <f>J142*$H$72%*(1+$H$72%)^$H$74/((1+$H$72%)^$H$74-1)*($J$67/92.7)</f>
        <v>0</v>
      </c>
      <c r="L142" s="833"/>
      <c r="M142" s="834"/>
    </row>
    <row r="143" spans="1:13" ht="18" customHeight="1" x14ac:dyDescent="0.45">
      <c r="A143" s="798"/>
      <c r="B143" s="732"/>
      <c r="C143" s="736"/>
      <c r="D143" s="736"/>
      <c r="E143" s="211" t="s">
        <v>967</v>
      </c>
      <c r="F143" s="744"/>
      <c r="G143" s="828" t="s">
        <v>1004</v>
      </c>
      <c r="H143" s="829"/>
      <c r="I143" s="830"/>
      <c r="J143" s="219">
        <f>0.169*H39^0.539*100</f>
        <v>0</v>
      </c>
      <c r="K143" s="220">
        <f>J143*$H$72%*(1+$H$72%)^$H$75/((1+$H$72%)^$H$75-1)*($J$67/92.7)</f>
        <v>0</v>
      </c>
      <c r="L143" s="835"/>
      <c r="M143" s="836"/>
    </row>
    <row r="144" spans="1:13" ht="18" customHeight="1" x14ac:dyDescent="0.45">
      <c r="A144" s="798"/>
      <c r="B144" s="732"/>
      <c r="C144" s="732" t="s">
        <v>1005</v>
      </c>
      <c r="D144" s="732"/>
      <c r="E144" s="211" t="s">
        <v>995</v>
      </c>
      <c r="F144" s="744"/>
      <c r="G144" s="828" t="s">
        <v>1006</v>
      </c>
      <c r="H144" s="829"/>
      <c r="I144" s="830"/>
      <c r="J144" s="219">
        <f>0.878*H42^0.761</f>
        <v>0</v>
      </c>
      <c r="K144" s="220">
        <f>J144*$H$72%*(1+$H$72%)^$H$74/((1+$H$72%)^$H$74-1)*($J$67/98.5)</f>
        <v>0</v>
      </c>
      <c r="L144" s="831" t="s">
        <v>953</v>
      </c>
      <c r="M144" s="832"/>
    </row>
    <row r="145" spans="1:13" ht="18" customHeight="1" x14ac:dyDescent="0.45">
      <c r="A145" s="798"/>
      <c r="B145" s="732"/>
      <c r="C145" s="732" t="s">
        <v>1007</v>
      </c>
      <c r="D145" s="732"/>
      <c r="E145" s="211" t="s">
        <v>995</v>
      </c>
      <c r="F145" s="744"/>
      <c r="G145" s="828" t="s">
        <v>1008</v>
      </c>
      <c r="H145" s="829"/>
      <c r="I145" s="830"/>
      <c r="J145" s="219">
        <f>10.4*H43^0.437</f>
        <v>0</v>
      </c>
      <c r="K145" s="220">
        <f>J145*$H$72%*(1+$H$72%)^$H$74/((1+$H$72%)^$H$74-1)*($J$67/98.5)</f>
        <v>0</v>
      </c>
      <c r="L145" s="835"/>
      <c r="M145" s="836"/>
    </row>
    <row r="146" spans="1:13" ht="18" customHeight="1" x14ac:dyDescent="0.45">
      <c r="A146" s="798"/>
      <c r="B146" s="736" t="s">
        <v>1009</v>
      </c>
      <c r="C146" s="732"/>
      <c r="D146" s="732"/>
      <c r="E146" s="211" t="s">
        <v>995</v>
      </c>
      <c r="F146" s="744"/>
      <c r="G146" s="828" t="s">
        <v>1010</v>
      </c>
      <c r="H146" s="829"/>
      <c r="I146" s="830"/>
      <c r="J146" s="219">
        <f>(0.434*H40^0.373*100)-(0.434*H47^0.373*100)</f>
        <v>0</v>
      </c>
      <c r="K146" s="220">
        <f>J146*$H$72%*(1+$H$72%)^$H$76/((1+$H$72%)^$H$76-1)*($J$67/92.7)</f>
        <v>0</v>
      </c>
      <c r="L146" s="831" t="s">
        <v>949</v>
      </c>
      <c r="M146" s="832"/>
    </row>
    <row r="147" spans="1:13" ht="18" customHeight="1" x14ac:dyDescent="0.45">
      <c r="A147" s="798"/>
      <c r="B147" s="732"/>
      <c r="C147" s="732"/>
      <c r="D147" s="732"/>
      <c r="E147" s="211" t="s">
        <v>967</v>
      </c>
      <c r="F147" s="744"/>
      <c r="G147" s="828" t="s">
        <v>1011</v>
      </c>
      <c r="H147" s="829"/>
      <c r="I147" s="830"/>
      <c r="J147" s="219">
        <f>(0.227*H40^0.444*100)-(0.227*H47^0.444*100)</f>
        <v>0</v>
      </c>
      <c r="K147" s="220">
        <f>J147*$H$72%*(1+$H$72%)^$H$77/((1+$H$72%)^$H$77-1)*($J$67/92.7)</f>
        <v>0</v>
      </c>
      <c r="L147" s="833"/>
      <c r="M147" s="834"/>
    </row>
    <row r="148" spans="1:13" ht="18" customHeight="1" x14ac:dyDescent="0.45">
      <c r="A148" s="798"/>
      <c r="B148" s="736" t="s">
        <v>1012</v>
      </c>
      <c r="C148" s="732"/>
      <c r="D148" s="732"/>
      <c r="E148" s="211" t="s">
        <v>995</v>
      </c>
      <c r="F148" s="744"/>
      <c r="G148" s="828" t="s">
        <v>1010</v>
      </c>
      <c r="H148" s="829"/>
      <c r="I148" s="830"/>
      <c r="J148" s="219">
        <f>(0.434*H41^0.373*100)-(0.434*H47^0.373*100)</f>
        <v>0</v>
      </c>
      <c r="K148" s="220">
        <f>J148*$H$72%*(1+$H$72%)^$H$76/((1+$H$72%)^$H$76-1)*($J$67/92.7)</f>
        <v>0</v>
      </c>
      <c r="L148" s="833"/>
      <c r="M148" s="834"/>
    </row>
    <row r="149" spans="1:13" ht="18" customHeight="1" x14ac:dyDescent="0.45">
      <c r="A149" s="798"/>
      <c r="B149" s="732"/>
      <c r="C149" s="732"/>
      <c r="D149" s="732"/>
      <c r="E149" s="211" t="s">
        <v>967</v>
      </c>
      <c r="F149" s="744"/>
      <c r="G149" s="828" t="s">
        <v>1011</v>
      </c>
      <c r="H149" s="829"/>
      <c r="I149" s="830"/>
      <c r="J149" s="219">
        <f>(0.227*H41^0.444*100)-(0.227*H47^0.444*100)</f>
        <v>0</v>
      </c>
      <c r="K149" s="220">
        <f>J149*$H$72%*(1+$H$72%)^$H$77/((1+$H$72%)^$H$77-1)*($J$67/92.7)</f>
        <v>0</v>
      </c>
      <c r="L149" s="835"/>
      <c r="M149" s="836"/>
    </row>
    <row r="150" spans="1:13" ht="18" customHeight="1" x14ac:dyDescent="0.45">
      <c r="A150" s="798"/>
      <c r="B150" s="732" t="s">
        <v>1013</v>
      </c>
      <c r="C150" s="732"/>
      <c r="D150" s="732"/>
      <c r="E150" s="211" t="s">
        <v>969</v>
      </c>
      <c r="F150" s="744"/>
      <c r="G150" s="828" t="s">
        <v>1014</v>
      </c>
      <c r="H150" s="829"/>
      <c r="I150" s="830"/>
      <c r="J150" s="219">
        <f>1.3132*H44</f>
        <v>0</v>
      </c>
      <c r="K150" s="220">
        <f>J150*$H$72%*(1+$H$72%)^$H$76/((1+$H$72%)^$H$76-1)*($J$67/107.5)</f>
        <v>0</v>
      </c>
      <c r="L150" s="791" t="s">
        <v>1015</v>
      </c>
      <c r="M150" s="800"/>
    </row>
    <row r="151" spans="1:13" ht="18" customHeight="1" x14ac:dyDescent="0.45">
      <c r="A151" s="798"/>
      <c r="B151" s="732"/>
      <c r="C151" s="732"/>
      <c r="D151" s="732"/>
      <c r="E151" s="211" t="s">
        <v>967</v>
      </c>
      <c r="F151" s="745"/>
      <c r="G151" s="828" t="s">
        <v>1016</v>
      </c>
      <c r="H151" s="829"/>
      <c r="I151" s="830"/>
      <c r="J151" s="219">
        <f>0.0263*H44+5.8284</f>
        <v>5.8284000000000002</v>
      </c>
      <c r="K151" s="220">
        <f>J151*$H$72%*(1+$H$72%)^$H$77/((1+$H$72%)^$H$77-1)*($J$67/107.5)</f>
        <v>0.20287369714020026</v>
      </c>
      <c r="L151" s="801"/>
      <c r="M151" s="802"/>
    </row>
    <row r="152" spans="1:13" ht="18" customHeight="1" x14ac:dyDescent="0.45">
      <c r="A152" s="798"/>
      <c r="B152" s="732" t="s">
        <v>1017</v>
      </c>
      <c r="C152" s="732" t="s">
        <v>1018</v>
      </c>
      <c r="D152" s="732" t="s">
        <v>890</v>
      </c>
      <c r="E152" s="732"/>
      <c r="F152" s="732" t="s">
        <v>1019</v>
      </c>
      <c r="G152" s="742" t="s">
        <v>1020</v>
      </c>
      <c r="H152" s="740"/>
      <c r="I152" s="741"/>
      <c r="J152" s="221">
        <f>SUM(J138:J141)+J146+J147</f>
        <v>0</v>
      </c>
      <c r="K152" s="209" t="s">
        <v>1020</v>
      </c>
      <c r="L152" s="824"/>
      <c r="M152" s="825"/>
    </row>
    <row r="153" spans="1:13" ht="18" customHeight="1" x14ac:dyDescent="0.45">
      <c r="A153" s="798"/>
      <c r="B153" s="732"/>
      <c r="C153" s="732"/>
      <c r="D153" s="732" t="s">
        <v>974</v>
      </c>
      <c r="E153" s="732"/>
      <c r="F153" s="732"/>
      <c r="G153" s="742" t="s">
        <v>1020</v>
      </c>
      <c r="H153" s="740"/>
      <c r="I153" s="741"/>
      <c r="J153" s="221">
        <f>SUM(J138:J143)+J148+J149</f>
        <v>0</v>
      </c>
      <c r="K153" s="209" t="s">
        <v>1020</v>
      </c>
      <c r="L153" s="824"/>
      <c r="M153" s="825"/>
    </row>
    <row r="154" spans="1:13" ht="18" customHeight="1" x14ac:dyDescent="0.45">
      <c r="A154" s="798"/>
      <c r="B154" s="732"/>
      <c r="C154" s="732"/>
      <c r="D154" s="732" t="s">
        <v>975</v>
      </c>
      <c r="E154" s="732"/>
      <c r="F154" s="732"/>
      <c r="G154" s="742" t="s">
        <v>1020</v>
      </c>
      <c r="H154" s="740"/>
      <c r="I154" s="741"/>
      <c r="J154" s="221">
        <f>SUM(J138:J143)+SUM(J148:J151)</f>
        <v>5.8284000000000002</v>
      </c>
      <c r="K154" s="209" t="s">
        <v>1020</v>
      </c>
      <c r="L154" s="824"/>
      <c r="M154" s="825"/>
    </row>
    <row r="155" spans="1:13" ht="18" customHeight="1" x14ac:dyDescent="0.45">
      <c r="A155" s="798"/>
      <c r="B155" s="732"/>
      <c r="C155" s="732"/>
      <c r="D155" s="732" t="s">
        <v>976</v>
      </c>
      <c r="E155" s="732"/>
      <c r="F155" s="732"/>
      <c r="G155" s="742" t="s">
        <v>1020</v>
      </c>
      <c r="H155" s="740"/>
      <c r="I155" s="741"/>
      <c r="J155" s="221">
        <f>SUM(J138:J143)-SUM(J144:J145)</f>
        <v>0</v>
      </c>
      <c r="K155" s="209" t="s">
        <v>1020</v>
      </c>
      <c r="L155" s="824"/>
      <c r="M155" s="825"/>
    </row>
    <row r="156" spans="1:13" ht="18" customHeight="1" x14ac:dyDescent="0.45">
      <c r="A156" s="798"/>
      <c r="B156" s="732"/>
      <c r="C156" s="732" t="s">
        <v>1021</v>
      </c>
      <c r="D156" s="732" t="s">
        <v>890</v>
      </c>
      <c r="E156" s="732"/>
      <c r="F156" s="755" t="s">
        <v>973</v>
      </c>
      <c r="G156" s="742" t="s">
        <v>1020</v>
      </c>
      <c r="H156" s="740"/>
      <c r="I156" s="741"/>
      <c r="J156" s="209" t="s">
        <v>1020</v>
      </c>
      <c r="K156" s="221">
        <f>SUM(K138:K141)+K146+K147</f>
        <v>0</v>
      </c>
      <c r="L156" s="824"/>
      <c r="M156" s="825"/>
    </row>
    <row r="157" spans="1:13" ht="18" customHeight="1" x14ac:dyDescent="0.45">
      <c r="A157" s="798"/>
      <c r="B157" s="732"/>
      <c r="C157" s="732"/>
      <c r="D157" s="732" t="s">
        <v>974</v>
      </c>
      <c r="E157" s="732"/>
      <c r="F157" s="795"/>
      <c r="G157" s="742" t="s">
        <v>1020</v>
      </c>
      <c r="H157" s="740"/>
      <c r="I157" s="741"/>
      <c r="J157" s="209" t="s">
        <v>1020</v>
      </c>
      <c r="K157" s="221">
        <f>SUM(K138:K143)+K148+K149</f>
        <v>0</v>
      </c>
      <c r="L157" s="824"/>
      <c r="M157" s="825"/>
    </row>
    <row r="158" spans="1:13" ht="18" customHeight="1" x14ac:dyDescent="0.45">
      <c r="A158" s="798"/>
      <c r="B158" s="732"/>
      <c r="C158" s="732"/>
      <c r="D158" s="732" t="s">
        <v>975</v>
      </c>
      <c r="E158" s="732"/>
      <c r="F158" s="795"/>
      <c r="G158" s="742" t="s">
        <v>1020</v>
      </c>
      <c r="H158" s="740"/>
      <c r="I158" s="741"/>
      <c r="J158" s="209" t="s">
        <v>1020</v>
      </c>
      <c r="K158" s="221">
        <f>SUM(K138:K143)+SUM(K148:K151)</f>
        <v>0.20287369714020026</v>
      </c>
      <c r="L158" s="824"/>
      <c r="M158" s="825"/>
    </row>
    <row r="159" spans="1:13" ht="18" customHeight="1" x14ac:dyDescent="0.45">
      <c r="A159" s="799"/>
      <c r="B159" s="732"/>
      <c r="C159" s="732"/>
      <c r="D159" s="732" t="s">
        <v>976</v>
      </c>
      <c r="E159" s="732"/>
      <c r="F159" s="757"/>
      <c r="G159" s="742" t="s">
        <v>1020</v>
      </c>
      <c r="H159" s="740"/>
      <c r="I159" s="741"/>
      <c r="J159" s="209" t="s">
        <v>1020</v>
      </c>
      <c r="K159" s="221">
        <f>SUM(K138:K143)-SUM(K144:K145)</f>
        <v>0</v>
      </c>
      <c r="L159" s="824"/>
      <c r="M159" s="825"/>
    </row>
    <row r="160" spans="1:13" ht="18" customHeight="1" x14ac:dyDescent="0.45">
      <c r="A160" s="814" t="s">
        <v>981</v>
      </c>
      <c r="B160" s="726" t="s">
        <v>1022</v>
      </c>
      <c r="C160" s="756"/>
      <c r="D160" s="826" t="s">
        <v>1023</v>
      </c>
      <c r="E160" s="827"/>
      <c r="F160" s="726" t="s">
        <v>996</v>
      </c>
      <c r="G160" s="828" t="s">
        <v>1024</v>
      </c>
      <c r="H160" s="829"/>
      <c r="I160" s="830"/>
      <c r="J160" s="221">
        <f>63.2*H45^0.677</f>
        <v>0</v>
      </c>
      <c r="K160" s="220">
        <f>J160*$H$72%*(1+$H$72%)^$H$73/((1+$H$72%)^$H$73-1)</f>
        <v>0</v>
      </c>
      <c r="L160" s="824"/>
      <c r="M160" s="825"/>
    </row>
    <row r="161" spans="1:13" ht="18" customHeight="1" x14ac:dyDescent="0.45">
      <c r="A161" s="814"/>
      <c r="B161" s="795"/>
      <c r="C161" s="796"/>
      <c r="D161" s="826" t="s">
        <v>1025</v>
      </c>
      <c r="E161" s="827"/>
      <c r="F161" s="795"/>
      <c r="G161" s="828" t="s">
        <v>1026</v>
      </c>
      <c r="H161" s="829"/>
      <c r="I161" s="830"/>
      <c r="J161" s="221">
        <f>195.8*H45^0.531</f>
        <v>0</v>
      </c>
      <c r="K161" s="220">
        <f>J161*$H$72%*(1+$H$72%)^$H$74/((1+$H$72%)^$H$74-1)</f>
        <v>0</v>
      </c>
      <c r="L161" s="824"/>
      <c r="M161" s="825"/>
    </row>
    <row r="162" spans="1:13" ht="18" customHeight="1" x14ac:dyDescent="0.45">
      <c r="A162" s="814"/>
      <c r="B162" s="795"/>
      <c r="C162" s="796"/>
      <c r="D162" s="826" t="s">
        <v>1027</v>
      </c>
      <c r="E162" s="827"/>
      <c r="F162" s="795"/>
      <c r="G162" s="828" t="s">
        <v>1028</v>
      </c>
      <c r="H162" s="829"/>
      <c r="I162" s="830"/>
      <c r="J162" s="221">
        <f>19.6*H45^0.586</f>
        <v>0</v>
      </c>
      <c r="K162" s="220">
        <f>J162*$H$72%*(1+$H$72%)^$H$75/((1+$H$72%)^$H$75-1)</f>
        <v>0</v>
      </c>
      <c r="L162" s="824"/>
      <c r="M162" s="825"/>
    </row>
    <row r="163" spans="1:13" ht="18" customHeight="1" x14ac:dyDescent="0.45">
      <c r="A163" s="814"/>
      <c r="B163" s="757"/>
      <c r="C163" s="758"/>
      <c r="D163" s="826" t="s">
        <v>1029</v>
      </c>
      <c r="E163" s="827"/>
      <c r="F163" s="795"/>
      <c r="G163" s="828" t="s">
        <v>1030</v>
      </c>
      <c r="H163" s="829"/>
      <c r="I163" s="830"/>
      <c r="J163" s="221">
        <f>28.2*H45^0.569</f>
        <v>0</v>
      </c>
      <c r="K163" s="220">
        <f>J163*$H$72%*(1+$H$72%)^$H$77/((1+$H$72%)^$H$77-1)</f>
        <v>0</v>
      </c>
      <c r="L163" s="824"/>
      <c r="M163" s="825"/>
    </row>
    <row r="164" spans="1:13" ht="18" customHeight="1" x14ac:dyDescent="0.45">
      <c r="A164" s="814"/>
      <c r="B164" s="726" t="s">
        <v>1031</v>
      </c>
      <c r="C164" s="756"/>
      <c r="D164" s="826" t="s">
        <v>969</v>
      </c>
      <c r="E164" s="827"/>
      <c r="F164" s="795"/>
      <c r="G164" s="828" t="s">
        <v>1032</v>
      </c>
      <c r="H164" s="829"/>
      <c r="I164" s="830"/>
      <c r="J164" s="221">
        <f>39.6*H46^0.255</f>
        <v>0</v>
      </c>
      <c r="K164" s="220">
        <f>J164*$H$72%*(1+$H$72%)^$H$76/((1+$H$72%)^$H$76-1)</f>
        <v>0</v>
      </c>
      <c r="L164" s="824"/>
      <c r="M164" s="825"/>
    </row>
    <row r="165" spans="1:13" ht="18" customHeight="1" x14ac:dyDescent="0.45">
      <c r="A165" s="814"/>
      <c r="B165" s="757"/>
      <c r="C165" s="758"/>
      <c r="D165" s="826" t="s">
        <v>967</v>
      </c>
      <c r="E165" s="827"/>
      <c r="F165" s="795"/>
      <c r="G165" s="828" t="s">
        <v>1033</v>
      </c>
      <c r="H165" s="829"/>
      <c r="I165" s="830"/>
      <c r="J165" s="221">
        <f>4.3*H46^0.265</f>
        <v>0</v>
      </c>
      <c r="K165" s="220">
        <f>J165*$H$72%*(1+$H$72%)^$H$77/((1+$H$72%)^$H$77-1)</f>
        <v>0</v>
      </c>
      <c r="L165" s="824"/>
      <c r="M165" s="825"/>
    </row>
    <row r="166" spans="1:13" ht="18" customHeight="1" x14ac:dyDescent="0.45">
      <c r="A166" s="814"/>
      <c r="B166" s="726" t="s">
        <v>1034</v>
      </c>
      <c r="C166" s="756"/>
      <c r="D166" s="826" t="s">
        <v>969</v>
      </c>
      <c r="E166" s="827"/>
      <c r="F166" s="795"/>
      <c r="G166" s="828" t="s">
        <v>1035</v>
      </c>
      <c r="H166" s="829"/>
      <c r="I166" s="830"/>
      <c r="J166" s="221">
        <f>271.8</f>
        <v>271.8</v>
      </c>
      <c r="K166" s="220">
        <f>J166*$H$72%*(1+$H$72%)^$H$76/((1+$H$72%)^$H$76-1)</f>
        <v>21.630638695574955</v>
      </c>
      <c r="L166" s="824"/>
      <c r="M166" s="825"/>
    </row>
    <row r="167" spans="1:13" ht="18" customHeight="1" x14ac:dyDescent="0.45">
      <c r="A167" s="814"/>
      <c r="B167" s="757"/>
      <c r="C167" s="758"/>
      <c r="D167" s="826" t="s">
        <v>967</v>
      </c>
      <c r="E167" s="827"/>
      <c r="F167" s="795"/>
      <c r="G167" s="828" t="s">
        <v>1036</v>
      </c>
      <c r="H167" s="829"/>
      <c r="I167" s="830"/>
      <c r="J167" s="221">
        <f>13.7</f>
        <v>13.7</v>
      </c>
      <c r="K167" s="220">
        <f>J167*$H$72%*(1+$H$72%)^$H$77/((1+$H$72%)^$H$77-1)</f>
        <v>0.4639200554613529</v>
      </c>
      <c r="L167" s="824"/>
      <c r="M167" s="825"/>
    </row>
    <row r="168" spans="1:13" ht="18" customHeight="1" x14ac:dyDescent="0.45">
      <c r="A168" s="814"/>
      <c r="B168" s="755" t="s">
        <v>1013</v>
      </c>
      <c r="C168" s="756"/>
      <c r="D168" s="826" t="s">
        <v>969</v>
      </c>
      <c r="E168" s="827"/>
      <c r="F168" s="795"/>
      <c r="G168" s="828" t="s">
        <v>1037</v>
      </c>
      <c r="H168" s="829"/>
      <c r="I168" s="830"/>
      <c r="J168" s="221">
        <f>3.6*H46^0.505</f>
        <v>0</v>
      </c>
      <c r="K168" s="220">
        <f>J168*$H$72%*(1+$H$72%)^$H$76/((1+$H$72%)^$H$76-1)</f>
        <v>0</v>
      </c>
      <c r="L168" s="824"/>
      <c r="M168" s="825"/>
    </row>
    <row r="169" spans="1:13" ht="18" customHeight="1" x14ac:dyDescent="0.45">
      <c r="A169" s="814"/>
      <c r="B169" s="757"/>
      <c r="C169" s="758"/>
      <c r="D169" s="826" t="s">
        <v>967</v>
      </c>
      <c r="E169" s="827"/>
      <c r="F169" s="795"/>
      <c r="G169" s="828" t="s">
        <v>1038</v>
      </c>
      <c r="H169" s="829"/>
      <c r="I169" s="830"/>
      <c r="J169" s="221">
        <f>0.219*H46^0.596</f>
        <v>0</v>
      </c>
      <c r="K169" s="220">
        <f>J169*$H$72%*(1+$H$72%)^$H$77/((1+$H$72%)^$H$77-1)</f>
        <v>0</v>
      </c>
      <c r="L169" s="824"/>
      <c r="M169" s="825"/>
    </row>
    <row r="170" spans="1:13" ht="18" customHeight="1" x14ac:dyDescent="0.45">
      <c r="A170" s="814"/>
      <c r="B170" s="732" t="s">
        <v>1017</v>
      </c>
      <c r="C170" s="732" t="s">
        <v>1018</v>
      </c>
      <c r="D170" s="732" t="s">
        <v>982</v>
      </c>
      <c r="E170" s="732"/>
      <c r="F170" s="732" t="s">
        <v>1019</v>
      </c>
      <c r="G170" s="742" t="s">
        <v>1020</v>
      </c>
      <c r="H170" s="740"/>
      <c r="I170" s="741"/>
      <c r="J170" s="221">
        <f>SUM(J160:J165)+J168+J169</f>
        <v>0</v>
      </c>
      <c r="K170" s="209" t="s">
        <v>1020</v>
      </c>
      <c r="L170" s="824"/>
      <c r="M170" s="825"/>
    </row>
    <row r="171" spans="1:13" ht="18" customHeight="1" x14ac:dyDescent="0.45">
      <c r="A171" s="814"/>
      <c r="B171" s="732"/>
      <c r="C171" s="732"/>
      <c r="D171" s="732" t="s">
        <v>983</v>
      </c>
      <c r="E171" s="732"/>
      <c r="F171" s="732"/>
      <c r="G171" s="742" t="s">
        <v>1020</v>
      </c>
      <c r="H171" s="740"/>
      <c r="I171" s="741"/>
      <c r="J171" s="221">
        <f>SUM(J160:J169)</f>
        <v>285.5</v>
      </c>
      <c r="K171" s="209" t="s">
        <v>1020</v>
      </c>
      <c r="L171" s="824"/>
      <c r="M171" s="825"/>
    </row>
    <row r="172" spans="1:13" ht="18" customHeight="1" x14ac:dyDescent="0.45">
      <c r="A172" s="814"/>
      <c r="B172" s="732"/>
      <c r="C172" s="732"/>
      <c r="D172" s="732" t="s">
        <v>984</v>
      </c>
      <c r="E172" s="732"/>
      <c r="F172" s="732"/>
      <c r="G172" s="742" t="s">
        <v>1020</v>
      </c>
      <c r="H172" s="740"/>
      <c r="I172" s="741"/>
      <c r="J172" s="221">
        <f>SUM(J160:J163)</f>
        <v>0</v>
      </c>
      <c r="K172" s="209" t="s">
        <v>1020</v>
      </c>
      <c r="L172" s="824"/>
      <c r="M172" s="825"/>
    </row>
    <row r="173" spans="1:13" ht="18" customHeight="1" x14ac:dyDescent="0.45">
      <c r="A173" s="814"/>
      <c r="B173" s="732"/>
      <c r="C173" s="732" t="s">
        <v>1021</v>
      </c>
      <c r="D173" s="732" t="s">
        <v>982</v>
      </c>
      <c r="E173" s="732"/>
      <c r="F173" s="755" t="s">
        <v>973</v>
      </c>
      <c r="G173" s="742" t="s">
        <v>1020</v>
      </c>
      <c r="H173" s="740"/>
      <c r="I173" s="741"/>
      <c r="J173" s="209" t="s">
        <v>1020</v>
      </c>
      <c r="K173" s="221">
        <f>SUM(K160:K165)+K168+K169</f>
        <v>0</v>
      </c>
      <c r="L173" s="824"/>
      <c r="M173" s="825"/>
    </row>
    <row r="174" spans="1:13" ht="18" customHeight="1" x14ac:dyDescent="0.45">
      <c r="A174" s="814"/>
      <c r="B174" s="732"/>
      <c r="C174" s="732"/>
      <c r="D174" s="732" t="s">
        <v>983</v>
      </c>
      <c r="E174" s="732"/>
      <c r="F174" s="795"/>
      <c r="G174" s="742" t="s">
        <v>1020</v>
      </c>
      <c r="H174" s="740"/>
      <c r="I174" s="741"/>
      <c r="J174" s="209" t="s">
        <v>1020</v>
      </c>
      <c r="K174" s="221">
        <f>SUM(K160:K169)</f>
        <v>22.09455875103631</v>
      </c>
      <c r="L174" s="824"/>
      <c r="M174" s="825"/>
    </row>
    <row r="175" spans="1:13" ht="18" customHeight="1" x14ac:dyDescent="0.45">
      <c r="A175" s="814"/>
      <c r="B175" s="732"/>
      <c r="C175" s="732"/>
      <c r="D175" s="732" t="s">
        <v>984</v>
      </c>
      <c r="E175" s="732"/>
      <c r="F175" s="757"/>
      <c r="G175" s="742" t="s">
        <v>1020</v>
      </c>
      <c r="H175" s="740"/>
      <c r="I175" s="741"/>
      <c r="J175" s="209" t="s">
        <v>1020</v>
      </c>
      <c r="K175" s="221">
        <f>SUM(K160:K163)</f>
        <v>0</v>
      </c>
      <c r="L175" s="824"/>
      <c r="M175" s="825"/>
    </row>
    <row r="176" spans="1:13" ht="18" customHeight="1" x14ac:dyDescent="0.45">
      <c r="A176" s="206"/>
      <c r="G176" s="206"/>
      <c r="H176" s="206"/>
      <c r="I176" s="206"/>
      <c r="J176" s="216"/>
      <c r="K176" s="210"/>
      <c r="L176" s="210"/>
    </row>
    <row r="177" spans="1:12" ht="18" customHeight="1" x14ac:dyDescent="0.45">
      <c r="A177" s="206"/>
      <c r="G177" s="206"/>
      <c r="H177" s="206"/>
      <c r="I177" s="206"/>
      <c r="J177" s="216"/>
      <c r="K177" s="210"/>
      <c r="L177" s="210"/>
    </row>
    <row r="178" spans="1:12" ht="18" customHeight="1" x14ac:dyDescent="0.45">
      <c r="A178" s="205" t="s">
        <v>1039</v>
      </c>
      <c r="K178" s="210"/>
      <c r="L178" s="210"/>
    </row>
    <row r="179" spans="1:12" ht="18" customHeight="1" x14ac:dyDescent="0.45">
      <c r="K179" s="210"/>
      <c r="L179" s="210"/>
    </row>
    <row r="180" spans="1:12" ht="18" customHeight="1" x14ac:dyDescent="0.45">
      <c r="A180" s="217" t="s">
        <v>986</v>
      </c>
      <c r="B180" s="742" t="s">
        <v>987</v>
      </c>
      <c r="C180" s="740"/>
      <c r="D180" s="740"/>
      <c r="E180" s="741"/>
      <c r="F180" s="217" t="s">
        <v>988</v>
      </c>
      <c r="G180" s="742" t="s">
        <v>989</v>
      </c>
      <c r="H180" s="740"/>
      <c r="I180" s="741"/>
      <c r="J180" s="211" t="s">
        <v>1040</v>
      </c>
      <c r="K180" s="734" t="s">
        <v>992</v>
      </c>
      <c r="L180" s="734"/>
    </row>
    <row r="181" spans="1:12" ht="18" customHeight="1" x14ac:dyDescent="0.45">
      <c r="A181" s="814" t="s">
        <v>881</v>
      </c>
      <c r="B181" s="732" t="s">
        <v>993</v>
      </c>
      <c r="C181" s="732" t="s">
        <v>994</v>
      </c>
      <c r="D181" s="732"/>
      <c r="E181" s="732"/>
      <c r="F181" s="755" t="s">
        <v>973</v>
      </c>
      <c r="G181" s="735" t="s">
        <v>1041</v>
      </c>
      <c r="H181" s="735"/>
      <c r="I181" s="735"/>
      <c r="J181" s="219">
        <f>0.03*(0.5*H38)^0.628</f>
        <v>0</v>
      </c>
      <c r="K181" s="791" t="s">
        <v>1042</v>
      </c>
      <c r="L181" s="800"/>
    </row>
    <row r="182" spans="1:12" ht="18" customHeight="1" x14ac:dyDescent="0.45">
      <c r="A182" s="814"/>
      <c r="B182" s="732"/>
      <c r="C182" s="732" t="s">
        <v>999</v>
      </c>
      <c r="D182" s="732"/>
      <c r="E182" s="732"/>
      <c r="F182" s="795"/>
      <c r="G182" s="735" t="s">
        <v>1043</v>
      </c>
      <c r="H182" s="735"/>
      <c r="I182" s="735"/>
      <c r="J182" s="219">
        <f>0.661*(0.5*H38)^0.573</f>
        <v>0</v>
      </c>
      <c r="K182" s="812"/>
      <c r="L182" s="813"/>
    </row>
    <row r="183" spans="1:12" ht="18" customHeight="1" x14ac:dyDescent="0.45">
      <c r="A183" s="814"/>
      <c r="B183" s="732" t="s">
        <v>962</v>
      </c>
      <c r="C183" s="736" t="s">
        <v>1044</v>
      </c>
      <c r="D183" s="736"/>
      <c r="E183" s="736"/>
      <c r="F183" s="795"/>
      <c r="G183" s="735" t="s">
        <v>1045</v>
      </c>
      <c r="H183" s="735"/>
      <c r="I183" s="735"/>
      <c r="J183" s="219">
        <f>0.171*(H39*365*0.8)^0.39</f>
        <v>0</v>
      </c>
      <c r="K183" s="801"/>
      <c r="L183" s="802"/>
    </row>
    <row r="184" spans="1:12" ht="18" customHeight="1" x14ac:dyDescent="0.45">
      <c r="A184" s="814"/>
      <c r="B184" s="732"/>
      <c r="C184" s="732" t="s">
        <v>1005</v>
      </c>
      <c r="D184" s="732"/>
      <c r="E184" s="732"/>
      <c r="F184" s="795"/>
      <c r="G184" s="735" t="s">
        <v>1046</v>
      </c>
      <c r="H184" s="735"/>
      <c r="I184" s="735"/>
      <c r="J184" s="219">
        <f>0.0796*H42^0.761</f>
        <v>0</v>
      </c>
      <c r="K184" s="791" t="s">
        <v>953</v>
      </c>
      <c r="L184" s="800"/>
    </row>
    <row r="185" spans="1:12" ht="18" customHeight="1" x14ac:dyDescent="0.45">
      <c r="A185" s="814"/>
      <c r="B185" s="732"/>
      <c r="C185" s="732" t="s">
        <v>1007</v>
      </c>
      <c r="D185" s="732"/>
      <c r="E185" s="732"/>
      <c r="F185" s="795"/>
      <c r="G185" s="735" t="s">
        <v>1047</v>
      </c>
      <c r="H185" s="735"/>
      <c r="I185" s="735"/>
      <c r="J185" s="219">
        <f>0.283*H43^0.302</f>
        <v>0</v>
      </c>
      <c r="K185" s="801"/>
      <c r="L185" s="802"/>
    </row>
    <row r="186" spans="1:12" ht="18" customHeight="1" x14ac:dyDescent="0.45">
      <c r="A186" s="814"/>
      <c r="B186" s="732" t="s">
        <v>1048</v>
      </c>
      <c r="C186" s="732"/>
      <c r="D186" s="732"/>
      <c r="E186" s="732"/>
      <c r="F186" s="795"/>
      <c r="G186" s="735" t="s">
        <v>1049</v>
      </c>
      <c r="H186" s="735"/>
      <c r="I186" s="735"/>
      <c r="J186" s="219">
        <f>(0.039*(H40*365*0.8)^0.596)-(0.039*(H47*365*0.8)^0.596)</f>
        <v>0</v>
      </c>
      <c r="K186" s="791" t="s">
        <v>1050</v>
      </c>
      <c r="L186" s="800"/>
    </row>
    <row r="187" spans="1:12" ht="18" customHeight="1" x14ac:dyDescent="0.45">
      <c r="A187" s="814"/>
      <c r="B187" s="732" t="s">
        <v>1051</v>
      </c>
      <c r="C187" s="732"/>
      <c r="D187" s="732"/>
      <c r="E187" s="732"/>
      <c r="F187" s="795"/>
      <c r="G187" s="735" t="s">
        <v>1049</v>
      </c>
      <c r="H187" s="735"/>
      <c r="I187" s="735"/>
      <c r="J187" s="219">
        <f>(0.039*(H41*365*0.8)^0.596)-(0.039*(H47*365*0.8)^0.596)</f>
        <v>0</v>
      </c>
      <c r="K187" s="801"/>
      <c r="L187" s="802"/>
    </row>
    <row r="188" spans="1:12" ht="18" customHeight="1" x14ac:dyDescent="0.45">
      <c r="A188" s="814"/>
      <c r="B188" s="736" t="s">
        <v>1052</v>
      </c>
      <c r="C188" s="732"/>
      <c r="D188" s="732"/>
      <c r="E188" s="732"/>
      <c r="F188" s="795"/>
      <c r="G188" s="771" t="s">
        <v>1053</v>
      </c>
      <c r="H188" s="803"/>
      <c r="I188" s="804"/>
      <c r="J188" s="811">
        <f>(1/(100-79)*(H40*0.9*365*0.8)*$H$55/10^6)-1/(100-80)*(H47*0.9*365*0.8+H47*365*0.8*0.25*0.11*107/56)*$H$55/10^6</f>
        <v>0</v>
      </c>
      <c r="K188" s="791" t="s">
        <v>1054</v>
      </c>
      <c r="L188" s="800"/>
    </row>
    <row r="189" spans="1:12" ht="18" customHeight="1" x14ac:dyDescent="0.45">
      <c r="A189" s="814"/>
      <c r="B189" s="732"/>
      <c r="C189" s="732"/>
      <c r="D189" s="732"/>
      <c r="E189" s="732"/>
      <c r="F189" s="795"/>
      <c r="G189" s="805"/>
      <c r="H189" s="806"/>
      <c r="I189" s="807"/>
      <c r="J189" s="811"/>
      <c r="K189" s="812"/>
      <c r="L189" s="813"/>
    </row>
    <row r="190" spans="1:12" ht="18" customHeight="1" x14ac:dyDescent="0.45">
      <c r="A190" s="814"/>
      <c r="B190" s="736" t="s">
        <v>1055</v>
      </c>
      <c r="C190" s="732"/>
      <c r="D190" s="732"/>
      <c r="E190" s="732"/>
      <c r="F190" s="795"/>
      <c r="G190" s="805"/>
      <c r="H190" s="806"/>
      <c r="I190" s="807"/>
      <c r="J190" s="811">
        <f>(1/(100-82)*(H41*0.9*365*0.8)*$H$55/10^6)-1/(100-80)*(H47*0.9*365*0.8+H47*365*0.8*0.25*0.11*107/56)*$H$55/10^6</f>
        <v>0</v>
      </c>
      <c r="K190" s="812"/>
      <c r="L190" s="813"/>
    </row>
    <row r="191" spans="1:12" ht="18" customHeight="1" x14ac:dyDescent="0.45">
      <c r="A191" s="814"/>
      <c r="B191" s="732"/>
      <c r="C191" s="732"/>
      <c r="D191" s="732"/>
      <c r="E191" s="732"/>
      <c r="F191" s="795"/>
      <c r="G191" s="808"/>
      <c r="H191" s="809"/>
      <c r="I191" s="810"/>
      <c r="J191" s="811"/>
      <c r="K191" s="801"/>
      <c r="L191" s="802"/>
    </row>
    <row r="192" spans="1:12" ht="18" customHeight="1" x14ac:dyDescent="0.45">
      <c r="A192" s="814"/>
      <c r="B192" s="732" t="s">
        <v>1013</v>
      </c>
      <c r="C192" s="732"/>
      <c r="D192" s="732"/>
      <c r="E192" s="732"/>
      <c r="F192" s="795"/>
      <c r="G192" s="735" t="s">
        <v>1056</v>
      </c>
      <c r="H192" s="735"/>
      <c r="I192" s="735"/>
      <c r="J192" s="219">
        <f>0.0579*H44</f>
        <v>0</v>
      </c>
      <c r="K192" s="768" t="s">
        <v>1015</v>
      </c>
      <c r="L192" s="768"/>
    </row>
    <row r="193" spans="1:12" ht="18" customHeight="1" x14ac:dyDescent="0.45">
      <c r="A193" s="814"/>
      <c r="B193" s="755" t="s">
        <v>1057</v>
      </c>
      <c r="C193" s="769"/>
      <c r="D193" s="769"/>
      <c r="E193" s="756"/>
      <c r="F193" s="795"/>
      <c r="G193" s="815" t="s">
        <v>1058</v>
      </c>
      <c r="H193" s="816"/>
      <c r="I193" s="817"/>
      <c r="J193" s="821">
        <f>H39*0.01*0.8*0.8*500*21.5*0.32*0.9*1000/3600*355*16.5/10^6</f>
        <v>0</v>
      </c>
      <c r="K193" s="823"/>
      <c r="L193" s="792"/>
    </row>
    <row r="194" spans="1:12" ht="18" customHeight="1" x14ac:dyDescent="0.45">
      <c r="A194" s="814"/>
      <c r="B194" s="757"/>
      <c r="C194" s="770"/>
      <c r="D194" s="770"/>
      <c r="E194" s="758"/>
      <c r="F194" s="795"/>
      <c r="G194" s="818"/>
      <c r="H194" s="819"/>
      <c r="I194" s="820"/>
      <c r="J194" s="822"/>
      <c r="K194" s="793"/>
      <c r="L194" s="794"/>
    </row>
    <row r="195" spans="1:12" ht="18" customHeight="1" x14ac:dyDescent="0.45">
      <c r="A195" s="814"/>
      <c r="B195" s="732" t="s">
        <v>1017</v>
      </c>
      <c r="C195" s="732"/>
      <c r="D195" s="732" t="s">
        <v>890</v>
      </c>
      <c r="E195" s="732"/>
      <c r="F195" s="795"/>
      <c r="G195" s="732" t="s">
        <v>1020</v>
      </c>
      <c r="H195" s="732"/>
      <c r="I195" s="732"/>
      <c r="J195" s="219">
        <f>J181+J182+J186+J188</f>
        <v>0</v>
      </c>
      <c r="K195" s="768"/>
      <c r="L195" s="768"/>
    </row>
    <row r="196" spans="1:12" ht="18" customHeight="1" x14ac:dyDescent="0.45">
      <c r="A196" s="814"/>
      <c r="B196" s="732"/>
      <c r="C196" s="732"/>
      <c r="D196" s="732" t="s">
        <v>974</v>
      </c>
      <c r="E196" s="732"/>
      <c r="F196" s="795"/>
      <c r="G196" s="732" t="s">
        <v>1020</v>
      </c>
      <c r="H196" s="732"/>
      <c r="I196" s="732"/>
      <c r="J196" s="219">
        <f>J181+J182+J183+J187+J190</f>
        <v>0</v>
      </c>
      <c r="K196" s="768"/>
      <c r="L196" s="768"/>
    </row>
    <row r="197" spans="1:12" ht="18" customHeight="1" x14ac:dyDescent="0.45">
      <c r="A197" s="814"/>
      <c r="B197" s="732"/>
      <c r="C197" s="732"/>
      <c r="D197" s="732" t="s">
        <v>975</v>
      </c>
      <c r="E197" s="732"/>
      <c r="F197" s="795"/>
      <c r="G197" s="732" t="s">
        <v>1020</v>
      </c>
      <c r="H197" s="732"/>
      <c r="I197" s="732"/>
      <c r="J197" s="219">
        <f>J181+J182+J183+J187+J190+J192-J193</f>
        <v>0</v>
      </c>
      <c r="K197" s="768"/>
      <c r="L197" s="768"/>
    </row>
    <row r="198" spans="1:12" ht="18" customHeight="1" x14ac:dyDescent="0.45">
      <c r="A198" s="814"/>
      <c r="B198" s="732"/>
      <c r="C198" s="732"/>
      <c r="D198" s="732" t="s">
        <v>976</v>
      </c>
      <c r="E198" s="732"/>
      <c r="F198" s="795"/>
      <c r="G198" s="732" t="s">
        <v>1020</v>
      </c>
      <c r="H198" s="732"/>
      <c r="I198" s="732"/>
      <c r="J198" s="219">
        <f>J181+J182+J183-J184-J185</f>
        <v>0</v>
      </c>
      <c r="K198" s="768"/>
      <c r="L198" s="768"/>
    </row>
    <row r="199" spans="1:12" ht="18" customHeight="1" x14ac:dyDescent="0.45">
      <c r="A199" s="797" t="s">
        <v>981</v>
      </c>
      <c r="B199" s="732" t="s">
        <v>1059</v>
      </c>
      <c r="C199" s="736" t="s">
        <v>1022</v>
      </c>
      <c r="D199" s="736"/>
      <c r="E199" s="211" t="s">
        <v>1060</v>
      </c>
      <c r="F199" s="795"/>
      <c r="G199" s="735" t="s">
        <v>1061</v>
      </c>
      <c r="H199" s="735"/>
      <c r="I199" s="735"/>
      <c r="J199" s="219">
        <f>0.35*H45^0.628</f>
        <v>0</v>
      </c>
      <c r="K199" s="768"/>
      <c r="L199" s="768"/>
    </row>
    <row r="200" spans="1:12" ht="18" customHeight="1" x14ac:dyDescent="0.45">
      <c r="A200" s="798"/>
      <c r="B200" s="732"/>
      <c r="C200" s="736"/>
      <c r="D200" s="736"/>
      <c r="E200" s="211" t="s">
        <v>1062</v>
      </c>
      <c r="F200" s="795"/>
      <c r="G200" s="735" t="s">
        <v>1063</v>
      </c>
      <c r="H200" s="735"/>
      <c r="I200" s="735"/>
      <c r="J200" s="219">
        <f>0.73*H45^0.887*($H$50/16.5)</f>
        <v>0</v>
      </c>
      <c r="K200" s="768"/>
      <c r="L200" s="768"/>
    </row>
    <row r="201" spans="1:12" ht="18" customHeight="1" x14ac:dyDescent="0.45">
      <c r="A201" s="798"/>
      <c r="B201" s="732"/>
      <c r="C201" s="736"/>
      <c r="D201" s="736"/>
      <c r="E201" s="211" t="s">
        <v>1064</v>
      </c>
      <c r="F201" s="795"/>
      <c r="G201" s="733" t="s">
        <v>1065</v>
      </c>
      <c r="H201" s="733"/>
      <c r="I201" s="733"/>
      <c r="J201" s="219">
        <f>0.58*H45*($H$51/566)+1.51*H45*($H$53/38.9)</f>
        <v>0</v>
      </c>
      <c r="K201" s="768"/>
      <c r="L201" s="768"/>
    </row>
    <row r="202" spans="1:12" ht="18" customHeight="1" x14ac:dyDescent="0.45">
      <c r="A202" s="798"/>
      <c r="B202" s="732"/>
      <c r="C202" s="736"/>
      <c r="D202" s="736"/>
      <c r="E202" s="211" t="s">
        <v>1066</v>
      </c>
      <c r="F202" s="795"/>
      <c r="G202" s="735" t="s">
        <v>1067</v>
      </c>
      <c r="H202" s="735"/>
      <c r="I202" s="735"/>
      <c r="J202" s="219">
        <f>2.7*H45^0.509</f>
        <v>0</v>
      </c>
      <c r="K202" s="768"/>
      <c r="L202" s="768"/>
    </row>
    <row r="203" spans="1:12" ht="18" customHeight="1" x14ac:dyDescent="0.45">
      <c r="A203" s="798"/>
      <c r="B203" s="732"/>
      <c r="C203" s="736"/>
      <c r="D203" s="736"/>
      <c r="E203" s="211" t="s">
        <v>925</v>
      </c>
      <c r="F203" s="795"/>
      <c r="G203" s="735" t="s">
        <v>1068</v>
      </c>
      <c r="H203" s="735"/>
      <c r="I203" s="735"/>
      <c r="J203" s="219">
        <f>7*($H$54/7)</f>
        <v>7</v>
      </c>
      <c r="K203" s="768"/>
      <c r="L203" s="768"/>
    </row>
    <row r="204" spans="1:12" ht="18" customHeight="1" x14ac:dyDescent="0.45">
      <c r="A204" s="798"/>
      <c r="B204" s="732"/>
      <c r="C204" s="736" t="s">
        <v>1031</v>
      </c>
      <c r="D204" s="736"/>
      <c r="E204" s="211" t="s">
        <v>1062</v>
      </c>
      <c r="F204" s="795"/>
      <c r="G204" s="735" t="s">
        <v>1069</v>
      </c>
      <c r="H204" s="735"/>
      <c r="I204" s="735"/>
      <c r="J204" s="219">
        <f>0.62*H46^0.285*($H$50/16.5)</f>
        <v>0</v>
      </c>
      <c r="K204" s="768"/>
      <c r="L204" s="768"/>
    </row>
    <row r="205" spans="1:12" ht="18" customHeight="1" x14ac:dyDescent="0.45">
      <c r="A205" s="798"/>
      <c r="B205" s="732"/>
      <c r="C205" s="736"/>
      <c r="D205" s="736"/>
      <c r="E205" s="211" t="s">
        <v>1070</v>
      </c>
      <c r="F205" s="795"/>
      <c r="G205" s="735" t="s">
        <v>1071</v>
      </c>
      <c r="H205" s="735"/>
      <c r="I205" s="735"/>
      <c r="J205" s="219">
        <f>4.3*($H$52/309.1)</f>
        <v>4.3</v>
      </c>
      <c r="K205" s="768"/>
      <c r="L205" s="768"/>
    </row>
    <row r="206" spans="1:12" ht="18" customHeight="1" x14ac:dyDescent="0.45">
      <c r="A206" s="798"/>
      <c r="B206" s="732"/>
      <c r="C206" s="736"/>
      <c r="D206" s="736"/>
      <c r="E206" s="211" t="s">
        <v>1066</v>
      </c>
      <c r="F206" s="795"/>
      <c r="G206" s="735" t="s">
        <v>1072</v>
      </c>
      <c r="H206" s="735"/>
      <c r="I206" s="735"/>
      <c r="J206" s="219">
        <f>1.9*H46^0.195</f>
        <v>0</v>
      </c>
      <c r="K206" s="768"/>
      <c r="L206" s="768"/>
    </row>
    <row r="207" spans="1:12" ht="18" customHeight="1" x14ac:dyDescent="0.45">
      <c r="A207" s="798"/>
      <c r="B207" s="732" t="s">
        <v>982</v>
      </c>
      <c r="C207" s="732" t="s">
        <v>1013</v>
      </c>
      <c r="D207" s="732"/>
      <c r="E207" s="211" t="s">
        <v>1066</v>
      </c>
      <c r="F207" s="795"/>
      <c r="G207" s="735" t="s">
        <v>1073</v>
      </c>
      <c r="H207" s="735"/>
      <c r="I207" s="735"/>
      <c r="J207" s="219">
        <f>0.026*H46^0.771</f>
        <v>0</v>
      </c>
      <c r="K207" s="768"/>
      <c r="L207" s="768"/>
    </row>
    <row r="208" spans="1:12" ht="18" customHeight="1" x14ac:dyDescent="0.45">
      <c r="A208" s="798"/>
      <c r="B208" s="732"/>
      <c r="C208" s="732"/>
      <c r="D208" s="732"/>
      <c r="E208" s="211" t="s">
        <v>1074</v>
      </c>
      <c r="F208" s="795"/>
      <c r="G208" s="735" t="s">
        <v>1075</v>
      </c>
      <c r="H208" s="735"/>
      <c r="I208" s="735"/>
      <c r="J208" s="219">
        <f>0.0092*H46*($H$50/16.5)</f>
        <v>0</v>
      </c>
      <c r="K208" s="768"/>
      <c r="L208" s="768"/>
    </row>
    <row r="209" spans="1:12" ht="18" customHeight="1" x14ac:dyDescent="0.45">
      <c r="A209" s="798"/>
      <c r="B209" s="736" t="s">
        <v>983</v>
      </c>
      <c r="C209" s="732" t="s">
        <v>1013</v>
      </c>
      <c r="D209" s="732"/>
      <c r="E209" s="211" t="s">
        <v>1066</v>
      </c>
      <c r="F209" s="795"/>
      <c r="G209" s="735" t="s">
        <v>1073</v>
      </c>
      <c r="H209" s="735"/>
      <c r="I209" s="735"/>
      <c r="J209" s="219">
        <f>0.026*H46^0.771</f>
        <v>0</v>
      </c>
      <c r="K209" s="768"/>
      <c r="L209" s="768"/>
    </row>
    <row r="210" spans="1:12" ht="18" customHeight="1" x14ac:dyDescent="0.45">
      <c r="A210" s="798"/>
      <c r="B210" s="732"/>
      <c r="C210" s="732"/>
      <c r="D210" s="732"/>
      <c r="E210" s="211" t="s">
        <v>1076</v>
      </c>
      <c r="F210" s="795"/>
      <c r="G210" s="735" t="s">
        <v>1077</v>
      </c>
      <c r="H210" s="735"/>
      <c r="I210" s="735"/>
      <c r="J210" s="219">
        <f>0.0087*H46^1.007*($H$50/16.5)</f>
        <v>0</v>
      </c>
      <c r="K210" s="768"/>
      <c r="L210" s="768"/>
    </row>
    <row r="211" spans="1:12" ht="18" customHeight="1" x14ac:dyDescent="0.45">
      <c r="A211" s="798"/>
      <c r="B211" s="732"/>
      <c r="C211" s="736" t="s">
        <v>1034</v>
      </c>
      <c r="D211" s="732"/>
      <c r="E211" s="211" t="s">
        <v>1062</v>
      </c>
      <c r="F211" s="795"/>
      <c r="G211" s="735" t="s">
        <v>1078</v>
      </c>
      <c r="H211" s="735"/>
      <c r="I211" s="735"/>
      <c r="J211" s="219">
        <f>1*($H$50/16.5)</f>
        <v>1</v>
      </c>
      <c r="K211" s="768"/>
      <c r="L211" s="768"/>
    </row>
    <row r="212" spans="1:12" ht="18" customHeight="1" x14ac:dyDescent="0.45">
      <c r="A212" s="798"/>
      <c r="B212" s="732"/>
      <c r="C212" s="732"/>
      <c r="D212" s="732"/>
      <c r="E212" s="211" t="s">
        <v>1070</v>
      </c>
      <c r="F212" s="795"/>
      <c r="G212" s="735" t="s">
        <v>1079</v>
      </c>
      <c r="H212" s="735"/>
      <c r="I212" s="735"/>
      <c r="J212" s="219">
        <f>0.0055*($H$52/309.1)</f>
        <v>5.4999999999999997E-3</v>
      </c>
      <c r="K212" s="768"/>
      <c r="L212" s="768"/>
    </row>
    <row r="213" spans="1:12" ht="18" customHeight="1" x14ac:dyDescent="0.45">
      <c r="A213" s="798"/>
      <c r="B213" s="732"/>
      <c r="C213" s="732"/>
      <c r="D213" s="732"/>
      <c r="E213" s="211" t="s">
        <v>1066</v>
      </c>
      <c r="F213" s="795"/>
      <c r="G213" s="735" t="s">
        <v>1080</v>
      </c>
      <c r="H213" s="735"/>
      <c r="I213" s="735"/>
      <c r="J213" s="219">
        <f>8.4</f>
        <v>8.4</v>
      </c>
      <c r="K213" s="768"/>
      <c r="L213" s="768"/>
    </row>
    <row r="214" spans="1:12" ht="18" customHeight="1" x14ac:dyDescent="0.45">
      <c r="A214" s="798"/>
      <c r="B214" s="755" t="s">
        <v>1017</v>
      </c>
      <c r="C214" s="756"/>
      <c r="D214" s="732" t="s">
        <v>982</v>
      </c>
      <c r="E214" s="732"/>
      <c r="F214" s="795"/>
      <c r="G214" s="732" t="s">
        <v>1020</v>
      </c>
      <c r="H214" s="732"/>
      <c r="I214" s="732"/>
      <c r="J214" s="219">
        <f>SUM(J199:J207)-J208</f>
        <v>11.3</v>
      </c>
      <c r="K214" s="768"/>
      <c r="L214" s="768"/>
    </row>
    <row r="215" spans="1:12" ht="18" customHeight="1" x14ac:dyDescent="0.45">
      <c r="A215" s="798"/>
      <c r="B215" s="795"/>
      <c r="C215" s="796"/>
      <c r="D215" s="732" t="s">
        <v>983</v>
      </c>
      <c r="E215" s="732"/>
      <c r="F215" s="795"/>
      <c r="G215" s="732" t="s">
        <v>1020</v>
      </c>
      <c r="H215" s="732"/>
      <c r="I215" s="732"/>
      <c r="J215" s="219">
        <f>SUM(J199:J206)+J209-J210+SUM(J211:J213)</f>
        <v>20.705500000000001</v>
      </c>
      <c r="K215" s="768"/>
      <c r="L215" s="768"/>
    </row>
    <row r="216" spans="1:12" ht="18" customHeight="1" x14ac:dyDescent="0.45">
      <c r="A216" s="799"/>
      <c r="B216" s="757"/>
      <c r="C216" s="758"/>
      <c r="D216" s="732" t="s">
        <v>984</v>
      </c>
      <c r="E216" s="732"/>
      <c r="F216" s="757"/>
      <c r="G216" s="732" t="s">
        <v>1020</v>
      </c>
      <c r="H216" s="732"/>
      <c r="I216" s="732"/>
      <c r="J216" s="219">
        <f>J199+J200+H45*1000*0.8*0.35/100*365*$H$51/10^6+J202+J203</f>
        <v>7</v>
      </c>
      <c r="K216" s="768" t="s">
        <v>1081</v>
      </c>
      <c r="L216" s="768"/>
    </row>
    <row r="217" spans="1:12" ht="18" customHeight="1" x14ac:dyDescent="0.45">
      <c r="K217" s="210"/>
      <c r="L217" s="210"/>
    </row>
    <row r="218" spans="1:12" ht="18" customHeight="1" x14ac:dyDescent="0.45">
      <c r="K218" s="210"/>
      <c r="L218" s="210"/>
    </row>
    <row r="219" spans="1:12" ht="18" customHeight="1" x14ac:dyDescent="0.45">
      <c r="K219" s="210"/>
      <c r="L219" s="210"/>
    </row>
    <row r="220" spans="1:12" ht="18" customHeight="1" x14ac:dyDescent="0.45">
      <c r="A220" s="205" t="s">
        <v>1082</v>
      </c>
      <c r="K220" s="210"/>
      <c r="L220" s="210"/>
    </row>
    <row r="221" spans="1:12" ht="18" customHeight="1" x14ac:dyDescent="0.45">
      <c r="K221" s="210"/>
      <c r="L221" s="210"/>
    </row>
    <row r="222" spans="1:12" ht="18" customHeight="1" x14ac:dyDescent="0.45">
      <c r="A222" s="217" t="s">
        <v>986</v>
      </c>
      <c r="B222" s="742" t="s">
        <v>987</v>
      </c>
      <c r="C222" s="740"/>
      <c r="D222" s="740"/>
      <c r="E222" s="741"/>
      <c r="F222" s="217" t="s">
        <v>988</v>
      </c>
      <c r="G222" s="742" t="s">
        <v>989</v>
      </c>
      <c r="H222" s="740"/>
      <c r="I222" s="741"/>
      <c r="J222" s="211" t="s">
        <v>1083</v>
      </c>
      <c r="K222" s="734" t="s">
        <v>992</v>
      </c>
      <c r="L222" s="734"/>
    </row>
    <row r="223" spans="1:12" ht="18" customHeight="1" x14ac:dyDescent="0.45">
      <c r="A223" s="737" t="s">
        <v>881</v>
      </c>
      <c r="B223" s="732" t="s">
        <v>993</v>
      </c>
      <c r="C223" s="732"/>
      <c r="D223" s="732" t="s">
        <v>994</v>
      </c>
      <c r="E223" s="732"/>
      <c r="F223" s="743" t="s">
        <v>978</v>
      </c>
      <c r="G223" s="733" t="s">
        <v>1084</v>
      </c>
      <c r="H223" s="733"/>
      <c r="I223" s="733"/>
      <c r="J223" s="219">
        <f>7*(0.5*H38*0.8)*0.01*9.484*365/1000</f>
        <v>0</v>
      </c>
      <c r="K223" s="791" t="s">
        <v>1085</v>
      </c>
      <c r="L223" s="792"/>
    </row>
    <row r="224" spans="1:12" ht="18" customHeight="1" x14ac:dyDescent="0.45">
      <c r="A224" s="738"/>
      <c r="B224" s="732"/>
      <c r="C224" s="732"/>
      <c r="D224" s="732" t="s">
        <v>999</v>
      </c>
      <c r="E224" s="732"/>
      <c r="F224" s="744"/>
      <c r="G224" s="733" t="s">
        <v>1086</v>
      </c>
      <c r="H224" s="733"/>
      <c r="I224" s="733"/>
      <c r="J224" s="221">
        <f>212*(0.5*H38*0.8)*0.01*9.484*365/1000</f>
        <v>0</v>
      </c>
      <c r="K224" s="793"/>
      <c r="L224" s="794"/>
    </row>
    <row r="225" spans="1:12" ht="26.25" customHeight="1" x14ac:dyDescent="0.45">
      <c r="A225" s="738"/>
      <c r="B225" s="732" t="s">
        <v>962</v>
      </c>
      <c r="C225" s="732"/>
      <c r="D225" s="732"/>
      <c r="E225" s="732"/>
      <c r="F225" s="744"/>
      <c r="G225" s="733" t="s">
        <v>1087</v>
      </c>
      <c r="H225" s="733"/>
      <c r="I225" s="733"/>
      <c r="J225" s="221">
        <f>5.3*(H39*0.8/3.3)*9.484*365/1000</f>
        <v>0</v>
      </c>
      <c r="K225" s="783" t="s">
        <v>1088</v>
      </c>
      <c r="L225" s="784"/>
    </row>
    <row r="226" spans="1:12" ht="27" customHeight="1" x14ac:dyDescent="0.45">
      <c r="A226" s="738"/>
      <c r="B226" s="736" t="s">
        <v>1089</v>
      </c>
      <c r="C226" s="732"/>
      <c r="D226" s="732" t="s">
        <v>890</v>
      </c>
      <c r="E226" s="732"/>
      <c r="F226" s="744"/>
      <c r="G226" s="785" t="s">
        <v>1090</v>
      </c>
      <c r="H226" s="786"/>
      <c r="I226" s="787"/>
      <c r="J226" s="221">
        <f>(1575.4*(H40/100*0.8*365)^0.6723-62.631*(H47/100*0.8*365)^1.2091)*9.484/1000</f>
        <v>0</v>
      </c>
      <c r="K226" s="768"/>
      <c r="L226" s="768"/>
    </row>
    <row r="227" spans="1:12" ht="27" customHeight="1" x14ac:dyDescent="0.45">
      <c r="A227" s="738"/>
      <c r="B227" s="732"/>
      <c r="C227" s="732"/>
      <c r="D227" s="732" t="s">
        <v>892</v>
      </c>
      <c r="E227" s="732"/>
      <c r="F227" s="744"/>
      <c r="G227" s="788"/>
      <c r="H227" s="789"/>
      <c r="I227" s="790"/>
      <c r="J227" s="221">
        <f>(62.631*(H41/100*0.8*365)^1.2091-62.631*(H47/100*0.8*365)^1.2091)*9.484/1000</f>
        <v>0</v>
      </c>
      <c r="K227" s="768"/>
      <c r="L227" s="768"/>
    </row>
    <row r="228" spans="1:12" ht="18" customHeight="1" x14ac:dyDescent="0.45">
      <c r="A228" s="738"/>
      <c r="B228" s="755" t="s">
        <v>1013</v>
      </c>
      <c r="C228" s="769"/>
      <c r="D228" s="769"/>
      <c r="E228" s="756"/>
      <c r="F228" s="744"/>
      <c r="G228" s="771" t="s">
        <v>1091</v>
      </c>
      <c r="H228" s="772"/>
      <c r="I228" s="773"/>
      <c r="J228" s="777">
        <f>(H39*0.01*0.8*0.8*500*21.5*0.32*0.9*1000/3600*355)*9.484/1000</f>
        <v>0</v>
      </c>
      <c r="K228" s="779"/>
      <c r="L228" s="780"/>
    </row>
    <row r="229" spans="1:12" ht="18" customHeight="1" x14ac:dyDescent="0.45">
      <c r="A229" s="738"/>
      <c r="B229" s="757"/>
      <c r="C229" s="770"/>
      <c r="D229" s="770"/>
      <c r="E229" s="758"/>
      <c r="F229" s="744"/>
      <c r="G229" s="774"/>
      <c r="H229" s="775"/>
      <c r="I229" s="776"/>
      <c r="J229" s="778"/>
      <c r="K229" s="781"/>
      <c r="L229" s="782"/>
    </row>
    <row r="230" spans="1:12" ht="18" customHeight="1" x14ac:dyDescent="0.45">
      <c r="A230" s="738"/>
      <c r="B230" s="726" t="s">
        <v>977</v>
      </c>
      <c r="C230" s="727"/>
      <c r="D230" s="732" t="s">
        <v>890</v>
      </c>
      <c r="E230" s="732"/>
      <c r="F230" s="744"/>
      <c r="G230" s="732" t="s">
        <v>1020</v>
      </c>
      <c r="H230" s="732"/>
      <c r="I230" s="732"/>
      <c r="J230" s="221">
        <f>-(J223+J224+J226)</f>
        <v>0</v>
      </c>
      <c r="K230" s="768"/>
      <c r="L230" s="768"/>
    </row>
    <row r="231" spans="1:12" ht="18" customHeight="1" x14ac:dyDescent="0.45">
      <c r="A231" s="738"/>
      <c r="B231" s="728"/>
      <c r="C231" s="729"/>
      <c r="D231" s="732" t="s">
        <v>974</v>
      </c>
      <c r="E231" s="732"/>
      <c r="F231" s="744"/>
      <c r="G231" s="732" t="s">
        <v>1020</v>
      </c>
      <c r="H231" s="732"/>
      <c r="I231" s="732"/>
      <c r="J231" s="221">
        <f>-(J223+J224+J225+J227)</f>
        <v>0</v>
      </c>
      <c r="K231" s="768"/>
      <c r="L231" s="768"/>
    </row>
    <row r="232" spans="1:12" ht="18" customHeight="1" x14ac:dyDescent="0.45">
      <c r="A232" s="738"/>
      <c r="B232" s="728"/>
      <c r="C232" s="729"/>
      <c r="D232" s="732" t="s">
        <v>975</v>
      </c>
      <c r="E232" s="732"/>
      <c r="F232" s="744"/>
      <c r="G232" s="732" t="s">
        <v>1020</v>
      </c>
      <c r="H232" s="732"/>
      <c r="I232" s="732"/>
      <c r="J232" s="221">
        <f>J228-(J223+J224+J225+J227)</f>
        <v>0</v>
      </c>
      <c r="K232" s="768"/>
      <c r="L232" s="768"/>
    </row>
    <row r="233" spans="1:12" ht="18" customHeight="1" x14ac:dyDescent="0.45">
      <c r="A233" s="739"/>
      <c r="B233" s="730"/>
      <c r="C233" s="731"/>
      <c r="D233" s="732" t="s">
        <v>976</v>
      </c>
      <c r="E233" s="732"/>
      <c r="F233" s="744"/>
      <c r="G233" s="732" t="s">
        <v>1020</v>
      </c>
      <c r="H233" s="732"/>
      <c r="I233" s="732"/>
      <c r="J233" s="221">
        <f>-(J223+J224+J225)</f>
        <v>0</v>
      </c>
      <c r="K233" s="768"/>
      <c r="L233" s="768"/>
    </row>
    <row r="234" spans="1:12" ht="18" customHeight="1" x14ac:dyDescent="0.45">
      <c r="A234" s="737" t="s">
        <v>981</v>
      </c>
      <c r="B234" s="732" t="s">
        <v>982</v>
      </c>
      <c r="C234" s="736" t="s">
        <v>1092</v>
      </c>
      <c r="D234" s="734" t="s">
        <v>1093</v>
      </c>
      <c r="E234" s="734"/>
      <c r="F234" s="744"/>
      <c r="G234" s="735" t="s">
        <v>1094</v>
      </c>
      <c r="H234" s="735"/>
      <c r="I234" s="735"/>
      <c r="J234" s="221">
        <f>428*H45^0.889</f>
        <v>0</v>
      </c>
      <c r="K234" s="768"/>
      <c r="L234" s="768"/>
    </row>
    <row r="235" spans="1:12" ht="18" customHeight="1" x14ac:dyDescent="0.45">
      <c r="A235" s="738"/>
      <c r="B235" s="732"/>
      <c r="C235" s="736"/>
      <c r="D235" s="734" t="s">
        <v>1095</v>
      </c>
      <c r="E235" s="734"/>
      <c r="F235" s="744"/>
      <c r="G235" s="735" t="s">
        <v>1096</v>
      </c>
      <c r="H235" s="735"/>
      <c r="I235" s="735"/>
      <c r="J235" s="221">
        <f>359*H46^0.285</f>
        <v>0</v>
      </c>
      <c r="K235" s="768"/>
      <c r="L235" s="768"/>
    </row>
    <row r="236" spans="1:12" ht="18" customHeight="1" x14ac:dyDescent="0.45">
      <c r="A236" s="738"/>
      <c r="B236" s="732"/>
      <c r="C236" s="211" t="s">
        <v>1097</v>
      </c>
      <c r="D236" s="734" t="s">
        <v>1013</v>
      </c>
      <c r="E236" s="734"/>
      <c r="F236" s="744"/>
      <c r="G236" s="735" t="s">
        <v>1098</v>
      </c>
      <c r="H236" s="735"/>
      <c r="I236" s="735"/>
      <c r="J236" s="221">
        <f>5.3*H46</f>
        <v>0</v>
      </c>
      <c r="K236" s="768"/>
      <c r="L236" s="768"/>
    </row>
    <row r="237" spans="1:12" ht="18" customHeight="1" x14ac:dyDescent="0.45">
      <c r="A237" s="738"/>
      <c r="B237" s="732" t="s">
        <v>983</v>
      </c>
      <c r="C237" s="736" t="s">
        <v>1092</v>
      </c>
      <c r="D237" s="734" t="s">
        <v>1093</v>
      </c>
      <c r="E237" s="734"/>
      <c r="F237" s="744"/>
      <c r="G237" s="735" t="s">
        <v>1094</v>
      </c>
      <c r="H237" s="735"/>
      <c r="I237" s="735"/>
      <c r="J237" s="221">
        <f>428*H45^0.889</f>
        <v>0</v>
      </c>
      <c r="K237" s="768"/>
      <c r="L237" s="768"/>
    </row>
    <row r="238" spans="1:12" ht="18" customHeight="1" x14ac:dyDescent="0.45">
      <c r="A238" s="738"/>
      <c r="B238" s="732"/>
      <c r="C238" s="736"/>
      <c r="D238" s="734" t="s">
        <v>1095</v>
      </c>
      <c r="E238" s="734"/>
      <c r="F238" s="744"/>
      <c r="G238" s="735" t="s">
        <v>1096</v>
      </c>
      <c r="H238" s="735"/>
      <c r="I238" s="735"/>
      <c r="J238" s="221">
        <f>359*H46^0.285</f>
        <v>0</v>
      </c>
      <c r="K238" s="768"/>
      <c r="L238" s="768"/>
    </row>
    <row r="239" spans="1:12" ht="18" customHeight="1" x14ac:dyDescent="0.45">
      <c r="A239" s="738"/>
      <c r="B239" s="732"/>
      <c r="C239" s="736"/>
      <c r="D239" s="734" t="s">
        <v>1099</v>
      </c>
      <c r="E239" s="734"/>
      <c r="F239" s="744"/>
      <c r="G239" s="735" t="s">
        <v>1100</v>
      </c>
      <c r="H239" s="735"/>
      <c r="I239" s="735"/>
      <c r="J239" s="221">
        <f>562</f>
        <v>562</v>
      </c>
      <c r="K239" s="768"/>
      <c r="L239" s="768"/>
    </row>
    <row r="240" spans="1:12" ht="18" customHeight="1" x14ac:dyDescent="0.45">
      <c r="A240" s="738"/>
      <c r="B240" s="732"/>
      <c r="C240" s="734" t="s">
        <v>1101</v>
      </c>
      <c r="D240" s="734" t="s">
        <v>1013</v>
      </c>
      <c r="E240" s="734"/>
      <c r="F240" s="744"/>
      <c r="G240" s="735" t="s">
        <v>1102</v>
      </c>
      <c r="H240" s="735"/>
      <c r="I240" s="735"/>
      <c r="J240" s="221">
        <f>5*H46^1.007</f>
        <v>0</v>
      </c>
      <c r="K240" s="768"/>
      <c r="L240" s="768"/>
    </row>
    <row r="241" spans="1:12" ht="18" customHeight="1" x14ac:dyDescent="0.45">
      <c r="A241" s="738"/>
      <c r="B241" s="732"/>
      <c r="C241" s="734"/>
      <c r="D241" s="734" t="s">
        <v>1103</v>
      </c>
      <c r="E241" s="734"/>
      <c r="F241" s="744"/>
      <c r="G241" s="735" t="s">
        <v>1104</v>
      </c>
      <c r="H241" s="735"/>
      <c r="I241" s="735"/>
      <c r="J241" s="221">
        <f>65.8</f>
        <v>65.8</v>
      </c>
      <c r="K241" s="768"/>
      <c r="L241" s="768"/>
    </row>
    <row r="242" spans="1:12" ht="18" customHeight="1" x14ac:dyDescent="0.45">
      <c r="A242" s="738"/>
      <c r="B242" s="736" t="s">
        <v>977</v>
      </c>
      <c r="C242" s="736"/>
      <c r="D242" s="732" t="s">
        <v>982</v>
      </c>
      <c r="E242" s="732"/>
      <c r="F242" s="744"/>
      <c r="G242" s="732" t="s">
        <v>1020</v>
      </c>
      <c r="H242" s="732"/>
      <c r="I242" s="732"/>
      <c r="J242" s="221">
        <f>J236-SUM(J234:J235)</f>
        <v>0</v>
      </c>
      <c r="K242" s="768"/>
      <c r="L242" s="768"/>
    </row>
    <row r="243" spans="1:12" ht="18" customHeight="1" x14ac:dyDescent="0.45">
      <c r="A243" s="738"/>
      <c r="B243" s="736"/>
      <c r="C243" s="736"/>
      <c r="D243" s="732" t="s">
        <v>983</v>
      </c>
      <c r="E243" s="732"/>
      <c r="F243" s="744"/>
      <c r="G243" s="732" t="s">
        <v>1020</v>
      </c>
      <c r="H243" s="732"/>
      <c r="I243" s="732"/>
      <c r="J243" s="221">
        <f>SUM(J240:J241)-SUM(J237:J239)</f>
        <v>-496.2</v>
      </c>
      <c r="K243" s="768"/>
      <c r="L243" s="768"/>
    </row>
    <row r="244" spans="1:12" ht="18" customHeight="1" x14ac:dyDescent="0.45">
      <c r="A244" s="739"/>
      <c r="B244" s="736"/>
      <c r="C244" s="736"/>
      <c r="D244" s="732" t="s">
        <v>984</v>
      </c>
      <c r="E244" s="732"/>
      <c r="F244" s="745"/>
      <c r="G244" s="732" t="s">
        <v>1020</v>
      </c>
      <c r="H244" s="732"/>
      <c r="I244" s="732"/>
      <c r="J244" s="221">
        <f>-J234</f>
        <v>0</v>
      </c>
      <c r="K244" s="768"/>
      <c r="L244" s="768"/>
    </row>
    <row r="245" spans="1:12" ht="18" customHeight="1" x14ac:dyDescent="0.45">
      <c r="K245" s="210"/>
      <c r="L245" s="210"/>
    </row>
    <row r="246" spans="1:12" ht="18" customHeight="1" x14ac:dyDescent="0.45">
      <c r="K246" s="210"/>
      <c r="L246" s="210"/>
    </row>
    <row r="247" spans="1:12" ht="18" customHeight="1" x14ac:dyDescent="0.45">
      <c r="K247" s="210"/>
      <c r="L247" s="210"/>
    </row>
    <row r="248" spans="1:12" ht="18" customHeight="1" x14ac:dyDescent="0.45">
      <c r="A248" s="205" t="s">
        <v>1105</v>
      </c>
      <c r="K248" s="210"/>
      <c r="L248" s="210"/>
    </row>
    <row r="249" spans="1:12" ht="18" customHeight="1" x14ac:dyDescent="0.45">
      <c r="K249" s="210"/>
      <c r="L249" s="210"/>
    </row>
    <row r="250" spans="1:12" ht="18" customHeight="1" x14ac:dyDescent="0.45">
      <c r="A250" s="217" t="s">
        <v>986</v>
      </c>
      <c r="B250" s="742" t="s">
        <v>987</v>
      </c>
      <c r="C250" s="740"/>
      <c r="D250" s="740"/>
      <c r="E250" s="741"/>
      <c r="F250" s="217" t="s">
        <v>988</v>
      </c>
      <c r="G250" s="742" t="s">
        <v>989</v>
      </c>
      <c r="H250" s="740"/>
      <c r="I250" s="741"/>
      <c r="J250" s="208" t="s">
        <v>1106</v>
      </c>
      <c r="K250" s="734" t="s">
        <v>992</v>
      </c>
      <c r="L250" s="734"/>
    </row>
    <row r="251" spans="1:12" ht="18" customHeight="1" x14ac:dyDescent="0.45">
      <c r="A251" s="737" t="s">
        <v>881</v>
      </c>
      <c r="B251" s="732" t="s">
        <v>1107</v>
      </c>
      <c r="C251" s="743" t="s">
        <v>914</v>
      </c>
      <c r="D251" s="742" t="s">
        <v>994</v>
      </c>
      <c r="E251" s="741"/>
      <c r="F251" s="743" t="s">
        <v>980</v>
      </c>
      <c r="G251" s="746" t="s">
        <v>1108</v>
      </c>
      <c r="H251" s="747"/>
      <c r="I251" s="748"/>
      <c r="J251" s="221">
        <f>J223/9.484*1000*$H$58</f>
        <v>0</v>
      </c>
      <c r="K251" s="733"/>
      <c r="L251" s="733"/>
    </row>
    <row r="252" spans="1:12" ht="18" customHeight="1" x14ac:dyDescent="0.45">
      <c r="A252" s="738"/>
      <c r="B252" s="732"/>
      <c r="C252" s="744"/>
      <c r="D252" s="742" t="s">
        <v>999</v>
      </c>
      <c r="E252" s="741"/>
      <c r="F252" s="744"/>
      <c r="G252" s="749"/>
      <c r="H252" s="750"/>
      <c r="I252" s="751"/>
      <c r="J252" s="221">
        <f>J224/9.484*1000*$H$58</f>
        <v>0</v>
      </c>
      <c r="K252" s="733"/>
      <c r="L252" s="733"/>
    </row>
    <row r="253" spans="1:12" ht="18" customHeight="1" x14ac:dyDescent="0.45">
      <c r="A253" s="738"/>
      <c r="B253" s="732"/>
      <c r="C253" s="744"/>
      <c r="D253" s="742" t="s">
        <v>962</v>
      </c>
      <c r="E253" s="741"/>
      <c r="F253" s="744"/>
      <c r="G253" s="749"/>
      <c r="H253" s="750"/>
      <c r="I253" s="751"/>
      <c r="J253" s="221">
        <f>J225/9.484*1000*$H$58</f>
        <v>0</v>
      </c>
      <c r="K253" s="765"/>
      <c r="L253" s="765"/>
    </row>
    <row r="254" spans="1:12" ht="27" customHeight="1" x14ac:dyDescent="0.45">
      <c r="A254" s="738"/>
      <c r="B254" s="732"/>
      <c r="C254" s="744"/>
      <c r="D254" s="766" t="s">
        <v>1089</v>
      </c>
      <c r="E254" s="222" t="s">
        <v>890</v>
      </c>
      <c r="F254" s="744"/>
      <c r="G254" s="749"/>
      <c r="H254" s="750"/>
      <c r="I254" s="751"/>
      <c r="J254" s="221">
        <f>J226/9.484*1000*$H$58</f>
        <v>0</v>
      </c>
      <c r="K254" s="733"/>
      <c r="L254" s="733"/>
    </row>
    <row r="255" spans="1:12" ht="27" customHeight="1" x14ac:dyDescent="0.45">
      <c r="A255" s="738"/>
      <c r="B255" s="732"/>
      <c r="C255" s="745"/>
      <c r="D255" s="767"/>
      <c r="E255" s="222" t="s">
        <v>892</v>
      </c>
      <c r="F255" s="744"/>
      <c r="G255" s="752"/>
      <c r="H255" s="753"/>
      <c r="I255" s="754"/>
      <c r="J255" s="221">
        <f>J227/9.484*1000*$H$58</f>
        <v>0</v>
      </c>
      <c r="K255" s="733"/>
      <c r="L255" s="733"/>
    </row>
    <row r="256" spans="1:12" ht="18" customHeight="1" x14ac:dyDescent="0.45">
      <c r="A256" s="738"/>
      <c r="B256" s="732"/>
      <c r="C256" s="755" t="s">
        <v>1109</v>
      </c>
      <c r="D256" s="756"/>
      <c r="E256" s="222" t="s">
        <v>890</v>
      </c>
      <c r="F256" s="744"/>
      <c r="G256" s="759" t="s">
        <v>1110</v>
      </c>
      <c r="H256" s="760"/>
      <c r="I256" s="761"/>
      <c r="J256" s="221">
        <f>(H38/100*0.8*0.5*0.3/100+H40/100*0.8*1.2/100)*365*$H$59</f>
        <v>0</v>
      </c>
      <c r="K256" s="733"/>
      <c r="L256" s="733"/>
    </row>
    <row r="257" spans="1:12" ht="18" customHeight="1" x14ac:dyDescent="0.45">
      <c r="A257" s="738"/>
      <c r="B257" s="732"/>
      <c r="C257" s="757"/>
      <c r="D257" s="758"/>
      <c r="E257" s="222" t="s">
        <v>892</v>
      </c>
      <c r="F257" s="744"/>
      <c r="G257" s="762"/>
      <c r="H257" s="763"/>
      <c r="I257" s="764"/>
      <c r="J257" s="221">
        <f>(H38/100*0.8*0.5*0.3/100+H41/100*0.8*1.6/100)*365*$H$59</f>
        <v>0</v>
      </c>
      <c r="K257" s="733"/>
      <c r="L257" s="733"/>
    </row>
    <row r="258" spans="1:12" ht="18" customHeight="1" x14ac:dyDescent="0.45">
      <c r="A258" s="738"/>
      <c r="B258" s="732"/>
      <c r="C258" s="732" t="s">
        <v>940</v>
      </c>
      <c r="D258" s="732"/>
      <c r="E258" s="732"/>
      <c r="F258" s="744"/>
      <c r="G258" s="733" t="s">
        <v>1111</v>
      </c>
      <c r="H258" s="733"/>
      <c r="I258" s="733"/>
      <c r="J258" s="219">
        <f>H39/100*0.8*0.8*500/600000*355*$H$62</f>
        <v>0</v>
      </c>
      <c r="K258" s="733"/>
      <c r="L258" s="733"/>
    </row>
    <row r="259" spans="1:12" ht="18" customHeight="1" x14ac:dyDescent="0.45">
      <c r="A259" s="738"/>
      <c r="B259" s="208" t="s">
        <v>1112</v>
      </c>
      <c r="C259" s="740" t="s">
        <v>1013</v>
      </c>
      <c r="D259" s="740"/>
      <c r="E259" s="741"/>
      <c r="F259" s="744"/>
      <c r="G259" s="733" t="s">
        <v>1113</v>
      </c>
      <c r="H259" s="733"/>
      <c r="I259" s="733"/>
      <c r="J259" s="221">
        <f>J228/9.484*1000*$H$58</f>
        <v>0</v>
      </c>
      <c r="K259" s="733"/>
      <c r="L259" s="733"/>
    </row>
    <row r="260" spans="1:12" ht="18" customHeight="1" x14ac:dyDescent="0.45">
      <c r="A260" s="738"/>
      <c r="B260" s="726" t="s">
        <v>979</v>
      </c>
      <c r="C260" s="727"/>
      <c r="D260" s="732" t="s">
        <v>890</v>
      </c>
      <c r="E260" s="732"/>
      <c r="F260" s="744"/>
      <c r="G260" s="732" t="s">
        <v>1020</v>
      </c>
      <c r="H260" s="732"/>
      <c r="I260" s="732"/>
      <c r="J260" s="221">
        <f>J251+J252+J254+J256</f>
        <v>0</v>
      </c>
      <c r="K260" s="733"/>
      <c r="L260" s="733"/>
    </row>
    <row r="261" spans="1:12" ht="18" customHeight="1" x14ac:dyDescent="0.45">
      <c r="A261" s="738"/>
      <c r="B261" s="728"/>
      <c r="C261" s="729"/>
      <c r="D261" s="732" t="s">
        <v>974</v>
      </c>
      <c r="E261" s="732"/>
      <c r="F261" s="744"/>
      <c r="G261" s="732" t="s">
        <v>1020</v>
      </c>
      <c r="H261" s="732"/>
      <c r="I261" s="732"/>
      <c r="J261" s="221">
        <f>J251+J252+J253+J255+J257</f>
        <v>0</v>
      </c>
      <c r="K261" s="733"/>
      <c r="L261" s="733"/>
    </row>
    <row r="262" spans="1:12" ht="18" customHeight="1" x14ac:dyDescent="0.45">
      <c r="A262" s="738"/>
      <c r="B262" s="728"/>
      <c r="C262" s="729"/>
      <c r="D262" s="732" t="s">
        <v>975</v>
      </c>
      <c r="E262" s="732"/>
      <c r="F262" s="744"/>
      <c r="G262" s="732" t="s">
        <v>1020</v>
      </c>
      <c r="H262" s="732"/>
      <c r="I262" s="732"/>
      <c r="J262" s="221">
        <f>J251+J252+J253+J255+J257-J259</f>
        <v>0</v>
      </c>
      <c r="K262" s="733"/>
      <c r="L262" s="733"/>
    </row>
    <row r="263" spans="1:12" ht="18" customHeight="1" x14ac:dyDescent="0.45">
      <c r="A263" s="739"/>
      <c r="B263" s="730"/>
      <c r="C263" s="731"/>
      <c r="D263" s="732" t="s">
        <v>976</v>
      </c>
      <c r="E263" s="732"/>
      <c r="F263" s="744"/>
      <c r="G263" s="732" t="s">
        <v>1020</v>
      </c>
      <c r="H263" s="732"/>
      <c r="I263" s="732"/>
      <c r="J263" s="221">
        <f>J251+J252+J253+(H38/100*0.8*0.5*0.3/100)*365*$H$59</f>
        <v>0</v>
      </c>
      <c r="K263" s="733" t="s">
        <v>1114</v>
      </c>
      <c r="L263" s="733"/>
    </row>
    <row r="264" spans="1:12" ht="18" customHeight="1" x14ac:dyDescent="0.45">
      <c r="A264" s="737" t="s">
        <v>981</v>
      </c>
      <c r="B264" s="732" t="s">
        <v>982</v>
      </c>
      <c r="C264" s="736" t="s">
        <v>1107</v>
      </c>
      <c r="D264" s="734" t="s">
        <v>914</v>
      </c>
      <c r="E264" s="734"/>
      <c r="F264" s="744"/>
      <c r="G264" s="735" t="s">
        <v>1115</v>
      </c>
      <c r="H264" s="735"/>
      <c r="I264" s="735"/>
      <c r="J264" s="221">
        <f>110.3*H45^0.513*($H$58/0.000488)</f>
        <v>0</v>
      </c>
      <c r="K264" s="733"/>
      <c r="L264" s="733"/>
    </row>
    <row r="265" spans="1:12" ht="18" customHeight="1" x14ac:dyDescent="0.45">
      <c r="A265" s="738"/>
      <c r="B265" s="732"/>
      <c r="C265" s="736"/>
      <c r="D265" s="734" t="s">
        <v>920</v>
      </c>
      <c r="E265" s="734"/>
      <c r="F265" s="744"/>
      <c r="G265" s="735" t="s">
        <v>1116</v>
      </c>
      <c r="H265" s="735"/>
      <c r="I265" s="735"/>
      <c r="J265" s="221">
        <f>27.6*($H$60/0.002)</f>
        <v>27.6</v>
      </c>
      <c r="K265" s="733"/>
      <c r="L265" s="733"/>
    </row>
    <row r="266" spans="1:12" ht="18" customHeight="1" x14ac:dyDescent="0.45">
      <c r="A266" s="738"/>
      <c r="B266" s="732"/>
      <c r="C266" s="736"/>
      <c r="D266" s="734" t="s">
        <v>1109</v>
      </c>
      <c r="E266" s="734"/>
      <c r="F266" s="744"/>
      <c r="G266" s="735" t="s">
        <v>1117</v>
      </c>
      <c r="H266" s="735"/>
      <c r="I266" s="735"/>
      <c r="J266" s="221">
        <f>21.8*H45*($H$59/6.5)</f>
        <v>0</v>
      </c>
      <c r="K266" s="733"/>
      <c r="L266" s="733"/>
    </row>
    <row r="267" spans="1:12" ht="18" customHeight="1" x14ac:dyDescent="0.45">
      <c r="A267" s="738"/>
      <c r="B267" s="732"/>
      <c r="C267" s="736"/>
      <c r="D267" s="734" t="s">
        <v>1118</v>
      </c>
      <c r="E267" s="734"/>
      <c r="F267" s="744"/>
      <c r="G267" s="735" t="s">
        <v>1119</v>
      </c>
      <c r="H267" s="735"/>
      <c r="I267" s="735"/>
      <c r="J267" s="221">
        <f>1.2*H45*($H$61/0.0308)</f>
        <v>0</v>
      </c>
      <c r="K267" s="733"/>
      <c r="L267" s="733"/>
    </row>
    <row r="268" spans="1:12" ht="18" customHeight="1" x14ac:dyDescent="0.45">
      <c r="A268" s="738"/>
      <c r="B268" s="732"/>
      <c r="C268" s="736"/>
      <c r="D268" s="734" t="s">
        <v>940</v>
      </c>
      <c r="E268" s="734"/>
      <c r="F268" s="744"/>
      <c r="G268" s="735" t="s">
        <v>1120</v>
      </c>
      <c r="H268" s="735"/>
      <c r="I268" s="735"/>
      <c r="J268" s="221">
        <f>0.037*H45^1.031*($H$62/0.26)</f>
        <v>0</v>
      </c>
      <c r="K268" s="733"/>
      <c r="L268" s="733"/>
    </row>
    <row r="269" spans="1:12" ht="18" customHeight="1" x14ac:dyDescent="0.45">
      <c r="A269" s="738"/>
      <c r="B269" s="732"/>
      <c r="C269" s="223" t="s">
        <v>1112</v>
      </c>
      <c r="D269" s="734" t="s">
        <v>1013</v>
      </c>
      <c r="E269" s="734"/>
      <c r="F269" s="744"/>
      <c r="G269" s="735" t="s">
        <v>1121</v>
      </c>
      <c r="H269" s="735"/>
      <c r="I269" s="735"/>
      <c r="J269" s="221">
        <f>103.9*H45*($H$58/0.000488)</f>
        <v>0</v>
      </c>
      <c r="K269" s="733"/>
      <c r="L269" s="733"/>
    </row>
    <row r="270" spans="1:12" ht="18" customHeight="1" x14ac:dyDescent="0.45">
      <c r="A270" s="738"/>
      <c r="B270" s="732" t="s">
        <v>983</v>
      </c>
      <c r="C270" s="736" t="s">
        <v>1107</v>
      </c>
      <c r="D270" s="734" t="s">
        <v>914</v>
      </c>
      <c r="E270" s="734"/>
      <c r="F270" s="744"/>
      <c r="G270" s="735" t="s">
        <v>1122</v>
      </c>
      <c r="H270" s="735"/>
      <c r="I270" s="735"/>
      <c r="J270" s="221">
        <f>133.8*H45^0.462*($H$58/0.000488)</f>
        <v>0</v>
      </c>
      <c r="K270" s="733"/>
      <c r="L270" s="733"/>
    </row>
    <row r="271" spans="1:12" ht="18" customHeight="1" x14ac:dyDescent="0.45">
      <c r="A271" s="738"/>
      <c r="B271" s="732"/>
      <c r="C271" s="736"/>
      <c r="D271" s="734" t="s">
        <v>920</v>
      </c>
      <c r="E271" s="734"/>
      <c r="F271" s="744"/>
      <c r="G271" s="735" t="s">
        <v>1116</v>
      </c>
      <c r="H271" s="735"/>
      <c r="I271" s="735"/>
      <c r="J271" s="221">
        <f>27.6*($H$60/0.002)</f>
        <v>27.6</v>
      </c>
      <c r="K271" s="733"/>
      <c r="L271" s="733"/>
    </row>
    <row r="272" spans="1:12" ht="18" customHeight="1" x14ac:dyDescent="0.45">
      <c r="A272" s="738"/>
      <c r="B272" s="732"/>
      <c r="C272" s="736"/>
      <c r="D272" s="734" t="s">
        <v>1109</v>
      </c>
      <c r="E272" s="734"/>
      <c r="F272" s="744"/>
      <c r="G272" s="735" t="s">
        <v>1117</v>
      </c>
      <c r="H272" s="735"/>
      <c r="I272" s="735"/>
      <c r="J272" s="221">
        <f>21.8*H45*($H$59/6.5)</f>
        <v>0</v>
      </c>
      <c r="K272" s="733"/>
      <c r="L272" s="733"/>
    </row>
    <row r="273" spans="1:12" ht="18" customHeight="1" x14ac:dyDescent="0.45">
      <c r="A273" s="738"/>
      <c r="B273" s="732"/>
      <c r="C273" s="736"/>
      <c r="D273" s="734" t="s">
        <v>1118</v>
      </c>
      <c r="E273" s="734"/>
      <c r="F273" s="744"/>
      <c r="G273" s="735" t="s">
        <v>1119</v>
      </c>
      <c r="H273" s="735"/>
      <c r="I273" s="735"/>
      <c r="J273" s="221">
        <f>1.2*H45*($H$61/0.0308)</f>
        <v>0</v>
      </c>
      <c r="K273" s="733"/>
      <c r="L273" s="733"/>
    </row>
    <row r="274" spans="1:12" ht="18" customHeight="1" x14ac:dyDescent="0.45">
      <c r="A274" s="738"/>
      <c r="B274" s="732"/>
      <c r="C274" s="736"/>
      <c r="D274" s="734" t="s">
        <v>940</v>
      </c>
      <c r="E274" s="734"/>
      <c r="F274" s="744"/>
      <c r="G274" s="735" t="s">
        <v>1120</v>
      </c>
      <c r="H274" s="735"/>
      <c r="I274" s="735"/>
      <c r="J274" s="221">
        <f>0.037*H45^1.031*($H$62/0.26)</f>
        <v>0</v>
      </c>
      <c r="K274" s="733"/>
      <c r="L274" s="733"/>
    </row>
    <row r="275" spans="1:12" ht="18" customHeight="1" x14ac:dyDescent="0.45">
      <c r="A275" s="738"/>
      <c r="B275" s="732"/>
      <c r="C275" s="736" t="s">
        <v>1123</v>
      </c>
      <c r="D275" s="734" t="s">
        <v>1103</v>
      </c>
      <c r="E275" s="734"/>
      <c r="F275" s="744"/>
      <c r="G275" s="735" t="s">
        <v>1124</v>
      </c>
      <c r="H275" s="735"/>
      <c r="I275" s="735"/>
      <c r="J275" s="221">
        <f>4.5*($H$63/2.32)</f>
        <v>4.5</v>
      </c>
      <c r="K275" s="733"/>
      <c r="L275" s="733"/>
    </row>
    <row r="276" spans="1:12" ht="18" customHeight="1" x14ac:dyDescent="0.45">
      <c r="A276" s="738"/>
      <c r="B276" s="732"/>
      <c r="C276" s="736"/>
      <c r="D276" s="736" t="s">
        <v>1013</v>
      </c>
      <c r="E276" s="736"/>
      <c r="F276" s="744"/>
      <c r="G276" s="735" t="s">
        <v>1125</v>
      </c>
      <c r="H276" s="735"/>
      <c r="I276" s="735"/>
      <c r="J276" s="221">
        <f>101.9*H45^1.007*($H$58/0.000488)</f>
        <v>0</v>
      </c>
      <c r="K276" s="733"/>
      <c r="L276" s="733"/>
    </row>
    <row r="277" spans="1:12" ht="18" customHeight="1" x14ac:dyDescent="0.45">
      <c r="A277" s="738"/>
      <c r="B277" s="726" t="s">
        <v>979</v>
      </c>
      <c r="C277" s="727"/>
      <c r="D277" s="732" t="s">
        <v>982</v>
      </c>
      <c r="E277" s="732"/>
      <c r="F277" s="744"/>
      <c r="G277" s="732" t="s">
        <v>1020</v>
      </c>
      <c r="H277" s="732"/>
      <c r="I277" s="732"/>
      <c r="J277" s="221">
        <f>SUM(J264:J268)-J269</f>
        <v>27.6</v>
      </c>
      <c r="K277" s="733"/>
      <c r="L277" s="733"/>
    </row>
    <row r="278" spans="1:12" ht="18" customHeight="1" x14ac:dyDescent="0.45">
      <c r="A278" s="738"/>
      <c r="B278" s="728"/>
      <c r="C278" s="729"/>
      <c r="D278" s="732" t="s">
        <v>983</v>
      </c>
      <c r="E278" s="732"/>
      <c r="F278" s="744"/>
      <c r="G278" s="732" t="s">
        <v>1020</v>
      </c>
      <c r="H278" s="732"/>
      <c r="I278" s="732"/>
      <c r="J278" s="221">
        <f>SUM(J270:J274)-SUM(J275:J276)</f>
        <v>23.1</v>
      </c>
      <c r="K278" s="733"/>
      <c r="L278" s="733"/>
    </row>
    <row r="279" spans="1:12" ht="18" customHeight="1" x14ac:dyDescent="0.45">
      <c r="A279" s="739"/>
      <c r="B279" s="730"/>
      <c r="C279" s="731"/>
      <c r="D279" s="732" t="s">
        <v>984</v>
      </c>
      <c r="E279" s="732"/>
      <c r="F279" s="745"/>
      <c r="G279" s="732" t="s">
        <v>1020</v>
      </c>
      <c r="H279" s="732"/>
      <c r="I279" s="732"/>
      <c r="J279" s="224">
        <f>-J244/9.484*1000*$H$58+(H38/100*0.8*0.35/100)*365*$H$59</f>
        <v>0</v>
      </c>
      <c r="K279" s="733" t="s">
        <v>1126</v>
      </c>
      <c r="L279" s="733"/>
    </row>
  </sheetData>
  <mergeCells count="538">
    <mergeCell ref="B13:C13"/>
    <mergeCell ref="A38:A44"/>
    <mergeCell ref="B38:F38"/>
    <mergeCell ref="H38:I38"/>
    <mergeCell ref="K38:L38"/>
    <mergeCell ref="N38:N64"/>
    <mergeCell ref="B39:F39"/>
    <mergeCell ref="H39:I39"/>
    <mergeCell ref="K39:L39"/>
    <mergeCell ref="B40:C41"/>
    <mergeCell ref="D40:F40"/>
    <mergeCell ref="B43:F43"/>
    <mergeCell ref="H43:I43"/>
    <mergeCell ref="K43:L43"/>
    <mergeCell ref="B44:F44"/>
    <mergeCell ref="H44:I44"/>
    <mergeCell ref="K44:L44"/>
    <mergeCell ref="H40:I40"/>
    <mergeCell ref="K40:L40"/>
    <mergeCell ref="D41:F41"/>
    <mergeCell ref="H41:I41"/>
    <mergeCell ref="K41:L41"/>
    <mergeCell ref="B42:F42"/>
    <mergeCell ref="H42:I42"/>
    <mergeCell ref="K42:L42"/>
    <mergeCell ref="B49:F49"/>
    <mergeCell ref="B50:F50"/>
    <mergeCell ref="H50:I50"/>
    <mergeCell ref="K50:L50"/>
    <mergeCell ref="B51:F51"/>
    <mergeCell ref="H51:I51"/>
    <mergeCell ref="K51:L51"/>
    <mergeCell ref="A45:A47"/>
    <mergeCell ref="B45:F45"/>
    <mergeCell ref="H45:I45"/>
    <mergeCell ref="K45:L45"/>
    <mergeCell ref="B46:F46"/>
    <mergeCell ref="H46:I46"/>
    <mergeCell ref="K46:L46"/>
    <mergeCell ref="B47:F47"/>
    <mergeCell ref="H47:I47"/>
    <mergeCell ref="K47:L47"/>
    <mergeCell ref="B54:F54"/>
    <mergeCell ref="H54:I54"/>
    <mergeCell ref="K54:L54"/>
    <mergeCell ref="B55:F55"/>
    <mergeCell ref="H55:I55"/>
    <mergeCell ref="K55:L55"/>
    <mergeCell ref="B52:F52"/>
    <mergeCell ref="H52:I52"/>
    <mergeCell ref="K52:L52"/>
    <mergeCell ref="B53:F53"/>
    <mergeCell ref="H53:I53"/>
    <mergeCell ref="K53:L53"/>
    <mergeCell ref="B60:F60"/>
    <mergeCell ref="H60:I60"/>
    <mergeCell ref="K60:L60"/>
    <mergeCell ref="B61:F61"/>
    <mergeCell ref="H61:I61"/>
    <mergeCell ref="K61:L61"/>
    <mergeCell ref="B58:F58"/>
    <mergeCell ref="H58:I58"/>
    <mergeCell ref="K58:L58"/>
    <mergeCell ref="B59:F59"/>
    <mergeCell ref="H59:I59"/>
    <mergeCell ref="K59:L59"/>
    <mergeCell ref="B66:F66"/>
    <mergeCell ref="H66:J66"/>
    <mergeCell ref="B67:F67"/>
    <mergeCell ref="J67:J69"/>
    <mergeCell ref="B68:F68"/>
    <mergeCell ref="B69:F69"/>
    <mergeCell ref="B62:F62"/>
    <mergeCell ref="H62:I62"/>
    <mergeCell ref="K62:L62"/>
    <mergeCell ref="B63:F63"/>
    <mergeCell ref="H63:I63"/>
    <mergeCell ref="K63:L63"/>
    <mergeCell ref="J73:J77"/>
    <mergeCell ref="H74:I74"/>
    <mergeCell ref="H75:I75"/>
    <mergeCell ref="C76:C77"/>
    <mergeCell ref="H76:I76"/>
    <mergeCell ref="H77:I77"/>
    <mergeCell ref="B72:F72"/>
    <mergeCell ref="H72:I72"/>
    <mergeCell ref="B73:B77"/>
    <mergeCell ref="C73:C75"/>
    <mergeCell ref="G73:G77"/>
    <mergeCell ref="H73:I73"/>
    <mergeCell ref="G114:H114"/>
    <mergeCell ref="B115:C118"/>
    <mergeCell ref="D115:E115"/>
    <mergeCell ref="F115:F118"/>
    <mergeCell ref="G115:H115"/>
    <mergeCell ref="D116:E116"/>
    <mergeCell ref="G116:H116"/>
    <mergeCell ref="D117:E117"/>
    <mergeCell ref="G117:H117"/>
    <mergeCell ref="D118:E118"/>
    <mergeCell ref="B111:C114"/>
    <mergeCell ref="D111:E111"/>
    <mergeCell ref="F111:F114"/>
    <mergeCell ref="G111:H111"/>
    <mergeCell ref="D112:E112"/>
    <mergeCell ref="G112:H112"/>
    <mergeCell ref="D113:E113"/>
    <mergeCell ref="G113:H113"/>
    <mergeCell ref="D114:E114"/>
    <mergeCell ref="G118:H118"/>
    <mergeCell ref="D125:E125"/>
    <mergeCell ref="G125:H125"/>
    <mergeCell ref="B119:C122"/>
    <mergeCell ref="D119:E119"/>
    <mergeCell ref="F119:F122"/>
    <mergeCell ref="G119:H119"/>
    <mergeCell ref="D120:E120"/>
    <mergeCell ref="G120:H120"/>
    <mergeCell ref="D121:E121"/>
    <mergeCell ref="G121:H121"/>
    <mergeCell ref="D122:E122"/>
    <mergeCell ref="G122:H122"/>
    <mergeCell ref="A111:A122"/>
    <mergeCell ref="B129:C131"/>
    <mergeCell ref="D129:E129"/>
    <mergeCell ref="F129:F131"/>
    <mergeCell ref="G129:H129"/>
    <mergeCell ref="D130:E130"/>
    <mergeCell ref="G130:H130"/>
    <mergeCell ref="D131:E131"/>
    <mergeCell ref="G131:H131"/>
    <mergeCell ref="B126:C128"/>
    <mergeCell ref="D126:E126"/>
    <mergeCell ref="F126:F128"/>
    <mergeCell ref="G126:H126"/>
    <mergeCell ref="D127:E127"/>
    <mergeCell ref="G127:H127"/>
    <mergeCell ref="D128:E128"/>
    <mergeCell ref="G128:H128"/>
    <mergeCell ref="A123:A131"/>
    <mergeCell ref="B123:C125"/>
    <mergeCell ref="D123:E123"/>
    <mergeCell ref="F123:F125"/>
    <mergeCell ref="G123:H123"/>
    <mergeCell ref="D124:E124"/>
    <mergeCell ref="G124:H124"/>
    <mergeCell ref="B137:E137"/>
    <mergeCell ref="G137:I137"/>
    <mergeCell ref="L137:M137"/>
    <mergeCell ref="A138:A159"/>
    <mergeCell ref="B138:B141"/>
    <mergeCell ref="C138:D139"/>
    <mergeCell ref="F138:F151"/>
    <mergeCell ref="G138:I138"/>
    <mergeCell ref="L138:M143"/>
    <mergeCell ref="G139:I139"/>
    <mergeCell ref="C140:D141"/>
    <mergeCell ref="G140:I140"/>
    <mergeCell ref="G141:I141"/>
    <mergeCell ref="B142:B145"/>
    <mergeCell ref="C142:D143"/>
    <mergeCell ref="G142:I142"/>
    <mergeCell ref="G143:I143"/>
    <mergeCell ref="C144:D144"/>
    <mergeCell ref="G144:I144"/>
    <mergeCell ref="L144:M145"/>
    <mergeCell ref="C145:D145"/>
    <mergeCell ref="G145:I145"/>
    <mergeCell ref="B146:D147"/>
    <mergeCell ref="G146:I146"/>
    <mergeCell ref="L146:M149"/>
    <mergeCell ref="G147:I147"/>
    <mergeCell ref="B148:D149"/>
    <mergeCell ref="G148:I148"/>
    <mergeCell ref="G149:I149"/>
    <mergeCell ref="B150:D151"/>
    <mergeCell ref="G150:I150"/>
    <mergeCell ref="L150:M151"/>
    <mergeCell ref="G151:I151"/>
    <mergeCell ref="B152:B159"/>
    <mergeCell ref="C152:C155"/>
    <mergeCell ref="D152:E152"/>
    <mergeCell ref="F152:F155"/>
    <mergeCell ref="G152:I152"/>
    <mergeCell ref="L152:M152"/>
    <mergeCell ref="C156:C159"/>
    <mergeCell ref="D156:E156"/>
    <mergeCell ref="F156:F159"/>
    <mergeCell ref="G156:I156"/>
    <mergeCell ref="L156:M156"/>
    <mergeCell ref="D157:E157"/>
    <mergeCell ref="G157:I157"/>
    <mergeCell ref="D153:E153"/>
    <mergeCell ref="G153:I153"/>
    <mergeCell ref="L153:M153"/>
    <mergeCell ref="D154:E154"/>
    <mergeCell ref="G154:I154"/>
    <mergeCell ref="L154:M154"/>
    <mergeCell ref="L157:M157"/>
    <mergeCell ref="D158:E158"/>
    <mergeCell ref="G158:I158"/>
    <mergeCell ref="L158:M158"/>
    <mergeCell ref="D159:E159"/>
    <mergeCell ref="G159:I159"/>
    <mergeCell ref="L159:M159"/>
    <mergeCell ref="D155:E155"/>
    <mergeCell ref="G155:I155"/>
    <mergeCell ref="L155:M155"/>
    <mergeCell ref="A160:A175"/>
    <mergeCell ref="B160:C163"/>
    <mergeCell ref="D160:E160"/>
    <mergeCell ref="F160:F169"/>
    <mergeCell ref="G160:I160"/>
    <mergeCell ref="L160:M160"/>
    <mergeCell ref="D161:E161"/>
    <mergeCell ref="G161:I161"/>
    <mergeCell ref="L161:M161"/>
    <mergeCell ref="D162:E162"/>
    <mergeCell ref="G162:I162"/>
    <mergeCell ref="L162:M162"/>
    <mergeCell ref="D163:E163"/>
    <mergeCell ref="G163:I163"/>
    <mergeCell ref="L163:M163"/>
    <mergeCell ref="B164:C165"/>
    <mergeCell ref="D164:E164"/>
    <mergeCell ref="G164:I164"/>
    <mergeCell ref="L164:M164"/>
    <mergeCell ref="D165:E165"/>
    <mergeCell ref="G165:I165"/>
    <mergeCell ref="L165:M165"/>
    <mergeCell ref="B166:C167"/>
    <mergeCell ref="D166:E166"/>
    <mergeCell ref="G166:I166"/>
    <mergeCell ref="L166:M166"/>
    <mergeCell ref="D167:E167"/>
    <mergeCell ref="G167:I167"/>
    <mergeCell ref="L167:M167"/>
    <mergeCell ref="L171:M171"/>
    <mergeCell ref="D172:E172"/>
    <mergeCell ref="B168:C169"/>
    <mergeCell ref="D168:E168"/>
    <mergeCell ref="G168:I168"/>
    <mergeCell ref="L168:M168"/>
    <mergeCell ref="D169:E169"/>
    <mergeCell ref="G169:I169"/>
    <mergeCell ref="L169:M169"/>
    <mergeCell ref="D175:E175"/>
    <mergeCell ref="G175:I175"/>
    <mergeCell ref="L175:M175"/>
    <mergeCell ref="B180:E180"/>
    <mergeCell ref="G180:I180"/>
    <mergeCell ref="K180:L180"/>
    <mergeCell ref="G172:I172"/>
    <mergeCell ref="L172:M172"/>
    <mergeCell ref="C173:C175"/>
    <mergeCell ref="D173:E173"/>
    <mergeCell ref="F173:F175"/>
    <mergeCell ref="G173:I173"/>
    <mergeCell ref="L173:M173"/>
    <mergeCell ref="D174:E174"/>
    <mergeCell ref="G174:I174"/>
    <mergeCell ref="L174:M174"/>
    <mergeCell ref="B170:B175"/>
    <mergeCell ref="C170:C172"/>
    <mergeCell ref="D170:E170"/>
    <mergeCell ref="F170:F172"/>
    <mergeCell ref="G170:I170"/>
    <mergeCell ref="L170:M170"/>
    <mergeCell ref="D171:E171"/>
    <mergeCell ref="G171:I171"/>
    <mergeCell ref="G183:I183"/>
    <mergeCell ref="C184:E184"/>
    <mergeCell ref="G184:I184"/>
    <mergeCell ref="K184:L185"/>
    <mergeCell ref="C185:E185"/>
    <mergeCell ref="G185:I185"/>
    <mergeCell ref="A181:A198"/>
    <mergeCell ref="B181:B182"/>
    <mergeCell ref="C181:E181"/>
    <mergeCell ref="F181:F216"/>
    <mergeCell ref="G181:I181"/>
    <mergeCell ref="K181:L183"/>
    <mergeCell ref="C182:E182"/>
    <mergeCell ref="G182:I182"/>
    <mergeCell ref="B183:B185"/>
    <mergeCell ref="C183:E183"/>
    <mergeCell ref="J190:J191"/>
    <mergeCell ref="B192:E192"/>
    <mergeCell ref="G192:I192"/>
    <mergeCell ref="K192:L192"/>
    <mergeCell ref="B193:E194"/>
    <mergeCell ref="G193:I194"/>
    <mergeCell ref="J193:J194"/>
    <mergeCell ref="K193:L194"/>
    <mergeCell ref="B186:E186"/>
    <mergeCell ref="G186:I186"/>
    <mergeCell ref="K186:L187"/>
    <mergeCell ref="B187:E187"/>
    <mergeCell ref="G187:I187"/>
    <mergeCell ref="B188:E189"/>
    <mergeCell ref="G188:I191"/>
    <mergeCell ref="J188:J189"/>
    <mergeCell ref="K188:L191"/>
    <mergeCell ref="B190:E191"/>
    <mergeCell ref="A199:A216"/>
    <mergeCell ref="B199:B206"/>
    <mergeCell ref="C199:D203"/>
    <mergeCell ref="G199:I199"/>
    <mergeCell ref="K199:L199"/>
    <mergeCell ref="G200:I200"/>
    <mergeCell ref="K200:L200"/>
    <mergeCell ref="B195:C198"/>
    <mergeCell ref="D195:E195"/>
    <mergeCell ref="G195:I195"/>
    <mergeCell ref="K195:L195"/>
    <mergeCell ref="D196:E196"/>
    <mergeCell ref="G196:I196"/>
    <mergeCell ref="K196:L196"/>
    <mergeCell ref="D197:E197"/>
    <mergeCell ref="G197:I197"/>
    <mergeCell ref="K197:L197"/>
    <mergeCell ref="G201:I201"/>
    <mergeCell ref="K201:L201"/>
    <mergeCell ref="G202:I202"/>
    <mergeCell ref="K202:L202"/>
    <mergeCell ref="G203:I203"/>
    <mergeCell ref="K203:L203"/>
    <mergeCell ref="D198:E198"/>
    <mergeCell ref="G198:I198"/>
    <mergeCell ref="K198:L198"/>
    <mergeCell ref="K211:L211"/>
    <mergeCell ref="G212:I212"/>
    <mergeCell ref="B207:B208"/>
    <mergeCell ref="C207:D208"/>
    <mergeCell ref="G207:I207"/>
    <mergeCell ref="K207:L207"/>
    <mergeCell ref="G208:I208"/>
    <mergeCell ref="K208:L208"/>
    <mergeCell ref="C204:D206"/>
    <mergeCell ref="G204:I204"/>
    <mergeCell ref="K204:L204"/>
    <mergeCell ref="G205:I205"/>
    <mergeCell ref="K205:L205"/>
    <mergeCell ref="G206:I206"/>
    <mergeCell ref="K206:L206"/>
    <mergeCell ref="D216:E216"/>
    <mergeCell ref="G216:I216"/>
    <mergeCell ref="K216:L216"/>
    <mergeCell ref="B222:E222"/>
    <mergeCell ref="G222:I222"/>
    <mergeCell ref="K222:L222"/>
    <mergeCell ref="K212:L212"/>
    <mergeCell ref="G213:I213"/>
    <mergeCell ref="K213:L213"/>
    <mergeCell ref="B214:C216"/>
    <mergeCell ref="D214:E214"/>
    <mergeCell ref="G214:I214"/>
    <mergeCell ref="K214:L214"/>
    <mergeCell ref="D215:E215"/>
    <mergeCell ref="G215:I215"/>
    <mergeCell ref="K215:L215"/>
    <mergeCell ref="B209:B213"/>
    <mergeCell ref="C209:D210"/>
    <mergeCell ref="G209:I209"/>
    <mergeCell ref="K209:L209"/>
    <mergeCell ref="G210:I210"/>
    <mergeCell ref="K210:L210"/>
    <mergeCell ref="C211:D213"/>
    <mergeCell ref="G211:I211"/>
    <mergeCell ref="K225:L225"/>
    <mergeCell ref="B226:C227"/>
    <mergeCell ref="D226:E226"/>
    <mergeCell ref="G226:I227"/>
    <mergeCell ref="K226:L226"/>
    <mergeCell ref="D227:E227"/>
    <mergeCell ref="K227:L227"/>
    <mergeCell ref="A223:A233"/>
    <mergeCell ref="B223:C224"/>
    <mergeCell ref="D223:E223"/>
    <mergeCell ref="F223:F244"/>
    <mergeCell ref="G223:I223"/>
    <mergeCell ref="K223:L224"/>
    <mergeCell ref="D224:E224"/>
    <mergeCell ref="G224:I224"/>
    <mergeCell ref="B225:E225"/>
    <mergeCell ref="G225:I225"/>
    <mergeCell ref="K231:L231"/>
    <mergeCell ref="D232:E232"/>
    <mergeCell ref="G232:I232"/>
    <mergeCell ref="K232:L232"/>
    <mergeCell ref="D233:E233"/>
    <mergeCell ref="G233:I233"/>
    <mergeCell ref="K233:L233"/>
    <mergeCell ref="B228:E229"/>
    <mergeCell ref="G228:I229"/>
    <mergeCell ref="J228:J229"/>
    <mergeCell ref="K228:L229"/>
    <mergeCell ref="B230:C233"/>
    <mergeCell ref="D230:E230"/>
    <mergeCell ref="G230:I230"/>
    <mergeCell ref="K230:L230"/>
    <mergeCell ref="D231:E231"/>
    <mergeCell ref="G231:I231"/>
    <mergeCell ref="A234:A244"/>
    <mergeCell ref="B234:B236"/>
    <mergeCell ref="C234:C235"/>
    <mergeCell ref="D234:E234"/>
    <mergeCell ref="G234:I234"/>
    <mergeCell ref="K234:L234"/>
    <mergeCell ref="D235:E235"/>
    <mergeCell ref="G235:I235"/>
    <mergeCell ref="K235:L235"/>
    <mergeCell ref="D236:E236"/>
    <mergeCell ref="G236:I236"/>
    <mergeCell ref="K236:L236"/>
    <mergeCell ref="B237:B241"/>
    <mergeCell ref="C237:C239"/>
    <mergeCell ref="D237:E237"/>
    <mergeCell ref="G237:I237"/>
    <mergeCell ref="K237:L237"/>
    <mergeCell ref="D238:E238"/>
    <mergeCell ref="G238:I238"/>
    <mergeCell ref="K238:L238"/>
    <mergeCell ref="D239:E239"/>
    <mergeCell ref="G239:I239"/>
    <mergeCell ref="K239:L239"/>
    <mergeCell ref="C240:C241"/>
    <mergeCell ref="D240:E240"/>
    <mergeCell ref="G240:I240"/>
    <mergeCell ref="K240:L240"/>
    <mergeCell ref="D241:E241"/>
    <mergeCell ref="G241:I241"/>
    <mergeCell ref="K241:L241"/>
    <mergeCell ref="B242:C244"/>
    <mergeCell ref="D242:E242"/>
    <mergeCell ref="G242:I242"/>
    <mergeCell ref="K242:L242"/>
    <mergeCell ref="D243:E243"/>
    <mergeCell ref="G243:I243"/>
    <mergeCell ref="K243:L243"/>
    <mergeCell ref="D244:E244"/>
    <mergeCell ref="G244:I244"/>
    <mergeCell ref="K244:L244"/>
    <mergeCell ref="B250:E250"/>
    <mergeCell ref="G250:I250"/>
    <mergeCell ref="K250:L250"/>
    <mergeCell ref="A251:A263"/>
    <mergeCell ref="B251:B258"/>
    <mergeCell ref="C251:C255"/>
    <mergeCell ref="D251:E251"/>
    <mergeCell ref="F251:F279"/>
    <mergeCell ref="G251:I255"/>
    <mergeCell ref="K251:L251"/>
    <mergeCell ref="C256:D257"/>
    <mergeCell ref="G256:I257"/>
    <mergeCell ref="K256:L256"/>
    <mergeCell ref="K257:L257"/>
    <mergeCell ref="C258:E258"/>
    <mergeCell ref="G258:I258"/>
    <mergeCell ref="K258:L258"/>
    <mergeCell ref="D252:E252"/>
    <mergeCell ref="K252:L252"/>
    <mergeCell ref="D253:E253"/>
    <mergeCell ref="K253:L253"/>
    <mergeCell ref="D254:D255"/>
    <mergeCell ref="K254:L254"/>
    <mergeCell ref="K255:L255"/>
    <mergeCell ref="D262:E262"/>
    <mergeCell ref="G262:I262"/>
    <mergeCell ref="K262:L262"/>
    <mergeCell ref="D263:E263"/>
    <mergeCell ref="G263:I263"/>
    <mergeCell ref="K263:L263"/>
    <mergeCell ref="C259:E259"/>
    <mergeCell ref="G259:I259"/>
    <mergeCell ref="K259:L259"/>
    <mergeCell ref="B260:C263"/>
    <mergeCell ref="D260:E260"/>
    <mergeCell ref="G260:I260"/>
    <mergeCell ref="K260:L260"/>
    <mergeCell ref="D261:E261"/>
    <mergeCell ref="G261:I261"/>
    <mergeCell ref="K261:L261"/>
    <mergeCell ref="A264:A279"/>
    <mergeCell ref="B264:B269"/>
    <mergeCell ref="C264:C268"/>
    <mergeCell ref="D264:E264"/>
    <mergeCell ref="G264:I264"/>
    <mergeCell ref="K264:L264"/>
    <mergeCell ref="D265:E265"/>
    <mergeCell ref="G265:I265"/>
    <mergeCell ref="K265:L265"/>
    <mergeCell ref="D266:E266"/>
    <mergeCell ref="B270:B276"/>
    <mergeCell ref="C270:C274"/>
    <mergeCell ref="D270:E270"/>
    <mergeCell ref="G270:I270"/>
    <mergeCell ref="K270:L270"/>
    <mergeCell ref="D271:E271"/>
    <mergeCell ref="G271:I271"/>
    <mergeCell ref="G266:I266"/>
    <mergeCell ref="K266:L266"/>
    <mergeCell ref="D267:E267"/>
    <mergeCell ref="G267:I267"/>
    <mergeCell ref="K267:L267"/>
    <mergeCell ref="D268:E268"/>
    <mergeCell ref="G268:I268"/>
    <mergeCell ref="K268:L268"/>
    <mergeCell ref="K271:L271"/>
    <mergeCell ref="D272:E272"/>
    <mergeCell ref="G272:I272"/>
    <mergeCell ref="K272:L272"/>
    <mergeCell ref="D273:E273"/>
    <mergeCell ref="G273:I273"/>
    <mergeCell ref="K273:L273"/>
    <mergeCell ref="D269:E269"/>
    <mergeCell ref="G269:I269"/>
    <mergeCell ref="K269:L269"/>
    <mergeCell ref="D274:E274"/>
    <mergeCell ref="G274:I274"/>
    <mergeCell ref="K274:L274"/>
    <mergeCell ref="C275:C276"/>
    <mergeCell ref="D275:E275"/>
    <mergeCell ref="G275:I275"/>
    <mergeCell ref="K275:L275"/>
    <mergeCell ref="D276:E276"/>
    <mergeCell ref="G276:I276"/>
    <mergeCell ref="K276:L276"/>
    <mergeCell ref="B277:C279"/>
    <mergeCell ref="D277:E277"/>
    <mergeCell ref="G277:I277"/>
    <mergeCell ref="K277:L277"/>
    <mergeCell ref="D278:E278"/>
    <mergeCell ref="G278:I278"/>
    <mergeCell ref="K278:L278"/>
    <mergeCell ref="D279:E279"/>
    <mergeCell ref="G279:I279"/>
    <mergeCell ref="K279:L279"/>
  </mergeCells>
  <phoneticPr fontId="2"/>
  <hyperlinks>
    <hyperlink ref="L2" location="汚泥処理対策シート!A1" display="クリックで対策シートに戻る" xr:uid="{E7EA21A0-08E5-48AA-B090-6B17C5B75098}"/>
  </hyperlinks>
  <pageMargins left="0.7" right="0.7" top="0.75" bottom="0.75" header="0.3" footer="0.3"/>
  <pageSetup paperSize="8" scale="92" fitToHeight="0" orientation="landscape" r:id="rId1"/>
  <rowBreaks count="6" manualBreakCount="6">
    <brk id="78" max="16383" man="1"/>
    <brk id="107" max="16383" man="1"/>
    <brk id="133" max="16383" man="1"/>
    <brk id="176" max="16383" man="1"/>
    <brk id="218" max="16383" man="1"/>
    <brk id="24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7777B-597B-4B08-AA5A-7E1737911815}">
  <sheetPr codeName="Sheet1">
    <tabColor rgb="FF00B050"/>
    <pageSetUpPr fitToPage="1"/>
  </sheetPr>
  <dimension ref="B1:T123"/>
  <sheetViews>
    <sheetView showGridLines="0" view="pageBreakPreview" zoomScale="70" zoomScaleNormal="70" zoomScaleSheetLayoutView="70" workbookViewId="0"/>
  </sheetViews>
  <sheetFormatPr defaultRowHeight="18" x14ac:dyDescent="0.45"/>
  <cols>
    <col min="2" max="2" width="34.69921875" customWidth="1"/>
    <col min="3" max="3" width="20.8984375" customWidth="1"/>
    <col min="4" max="4" width="17.3984375" customWidth="1"/>
    <col min="5" max="5" width="11.3984375" customWidth="1"/>
    <col min="6" max="6" width="13.69921875" customWidth="1"/>
    <col min="7" max="7" width="14.09765625" bestFit="1" customWidth="1"/>
    <col min="8" max="8" width="13.69921875" bestFit="1" customWidth="1"/>
    <col min="9" max="9" width="10.69921875" customWidth="1"/>
    <col min="10" max="10" width="16.3984375" customWidth="1"/>
    <col min="11" max="11" width="12.09765625" bestFit="1" customWidth="1"/>
  </cols>
  <sheetData>
    <row r="1" spans="2:18" ht="26.4" x14ac:dyDescent="0.45">
      <c r="B1" s="5" t="s">
        <v>1325</v>
      </c>
    </row>
    <row r="2" spans="2:18" ht="26.4" x14ac:dyDescent="0.45">
      <c r="B2" s="5" t="s">
        <v>1225</v>
      </c>
    </row>
    <row r="3" spans="2:18" ht="26.4" x14ac:dyDescent="0.45">
      <c r="B3" s="5"/>
    </row>
    <row r="4" spans="2:18" x14ac:dyDescent="0.45">
      <c r="B4" s="3" t="s">
        <v>1230</v>
      </c>
    </row>
    <row r="5" spans="2:18" x14ac:dyDescent="0.45">
      <c r="B5" s="3" t="s">
        <v>1144</v>
      </c>
    </row>
    <row r="6" spans="2:18" ht="26.4" x14ac:dyDescent="0.45">
      <c r="B6" s="5"/>
      <c r="G6" s="18"/>
      <c r="H6" t="s">
        <v>79</v>
      </c>
    </row>
    <row r="7" spans="2:18" x14ac:dyDescent="0.45">
      <c r="G7" s="7"/>
      <c r="H7" t="s">
        <v>80</v>
      </c>
      <c r="L7" s="148"/>
    </row>
    <row r="8" spans="2:18" x14ac:dyDescent="0.45">
      <c r="B8" s="4" t="s">
        <v>1220</v>
      </c>
      <c r="G8" s="332"/>
      <c r="H8" t="s">
        <v>1243</v>
      </c>
    </row>
    <row r="9" spans="2:18" ht="19.8" x14ac:dyDescent="0.45">
      <c r="B9" s="12" t="s">
        <v>1221</v>
      </c>
      <c r="C9" s="377"/>
      <c r="D9" s="12" t="s">
        <v>71</v>
      </c>
      <c r="G9" s="11"/>
      <c r="H9" t="s">
        <v>81</v>
      </c>
    </row>
    <row r="10" spans="2:18" ht="20.399999999999999" thickBot="1" x14ac:dyDescent="0.5">
      <c r="B10" s="12" t="s">
        <v>1222</v>
      </c>
      <c r="C10" s="377"/>
      <c r="D10" s="12" t="s">
        <v>71</v>
      </c>
      <c r="E10" s="4"/>
    </row>
    <row r="11" spans="2:18" ht="105.75" customHeight="1" thickBot="1" x14ac:dyDescent="0.5">
      <c r="B11" s="12" t="s">
        <v>477</v>
      </c>
      <c r="C11" s="324"/>
      <c r="D11" s="333" t="s">
        <v>1313</v>
      </c>
      <c r="E11" s="368"/>
      <c r="F11" s="397" t="s">
        <v>1312</v>
      </c>
      <c r="G11" s="398"/>
      <c r="H11" s="398"/>
      <c r="I11" s="398"/>
      <c r="J11" s="398"/>
      <c r="K11" s="398"/>
      <c r="L11" s="398"/>
      <c r="M11" s="398"/>
      <c r="N11" s="398"/>
      <c r="O11" s="398"/>
      <c r="P11" s="398"/>
      <c r="Q11" s="398"/>
      <c r="R11" s="399"/>
    </row>
    <row r="12" spans="2:18" x14ac:dyDescent="0.45">
      <c r="B12" s="12" t="s">
        <v>64</v>
      </c>
      <c r="C12" s="325"/>
      <c r="D12" s="334">
        <f>C12</f>
        <v>0</v>
      </c>
      <c r="E12" s="4"/>
    </row>
    <row r="13" spans="2:18" ht="19.2" x14ac:dyDescent="0.45">
      <c r="B13" s="12" t="s">
        <v>70</v>
      </c>
      <c r="C13" s="332">
        <v>0.25</v>
      </c>
      <c r="D13" s="12" t="s">
        <v>72</v>
      </c>
      <c r="E13" s="4" t="s">
        <v>1240</v>
      </c>
    </row>
    <row r="14" spans="2:18" x14ac:dyDescent="0.45">
      <c r="B14" s="12" t="s">
        <v>69</v>
      </c>
      <c r="C14" s="408">
        <f>IF(D12="焼却あり",D12,C11)</f>
        <v>0</v>
      </c>
      <c r="D14" s="409"/>
      <c r="E14" s="4"/>
    </row>
    <row r="15" spans="2:18" x14ac:dyDescent="0.45">
      <c r="E15" s="4"/>
    </row>
    <row r="17" spans="2:11" x14ac:dyDescent="0.45">
      <c r="B17" s="4" t="s">
        <v>38</v>
      </c>
    </row>
    <row r="18" spans="2:11" x14ac:dyDescent="0.45">
      <c r="B18" s="3" t="s">
        <v>1177</v>
      </c>
    </row>
    <row r="19" spans="2:11" x14ac:dyDescent="0.45">
      <c r="B19" s="3" t="s">
        <v>1173</v>
      </c>
    </row>
    <row r="20" spans="2:11" x14ac:dyDescent="0.45">
      <c r="B20" s="3"/>
    </row>
    <row r="21" spans="2:11" x14ac:dyDescent="0.45">
      <c r="B21" s="4" t="s">
        <v>1174</v>
      </c>
    </row>
    <row r="22" spans="2:11" x14ac:dyDescent="0.45">
      <c r="B22" s="407" t="s">
        <v>27</v>
      </c>
      <c r="C22" s="407"/>
      <c r="D22" s="26" t="s">
        <v>76</v>
      </c>
      <c r="E22" s="11" t="s">
        <v>3</v>
      </c>
      <c r="F22" s="11"/>
      <c r="G22" s="11" t="s">
        <v>4</v>
      </c>
      <c r="H22" s="11" t="s">
        <v>3</v>
      </c>
      <c r="I22" s="11"/>
      <c r="J22" s="11" t="s">
        <v>5</v>
      </c>
      <c r="K22" s="11" t="s">
        <v>3</v>
      </c>
    </row>
    <row r="23" spans="2:11" ht="37.5" customHeight="1" x14ac:dyDescent="0.45">
      <c r="B23" s="403" t="s">
        <v>1170</v>
      </c>
      <c r="C23" s="404"/>
      <c r="D23" s="8"/>
      <c r="E23" s="19" t="s">
        <v>6</v>
      </c>
      <c r="F23" s="11" t="s">
        <v>7</v>
      </c>
      <c r="G23" s="332">
        <f>$C$13</f>
        <v>0.25</v>
      </c>
      <c r="H23" s="11" t="s">
        <v>22</v>
      </c>
      <c r="I23" s="11" t="s">
        <v>20</v>
      </c>
      <c r="J23" s="147" t="str">
        <f t="shared" ref="J23:J31" si="0">IF(D23="","",D23*G23)</f>
        <v/>
      </c>
      <c r="K23" s="11" t="s">
        <v>21</v>
      </c>
    </row>
    <row r="24" spans="2:11" ht="18.75" customHeight="1" x14ac:dyDescent="0.45">
      <c r="B24" s="410" t="s">
        <v>1171</v>
      </c>
      <c r="C24" s="11" t="s">
        <v>9</v>
      </c>
      <c r="D24" s="8"/>
      <c r="E24" s="19" t="s">
        <v>10</v>
      </c>
      <c r="F24" s="11" t="s">
        <v>7</v>
      </c>
      <c r="G24" s="332">
        <v>2.71</v>
      </c>
      <c r="H24" s="11" t="s">
        <v>23</v>
      </c>
      <c r="I24" s="11" t="s">
        <v>8</v>
      </c>
      <c r="J24" s="147" t="str">
        <f t="shared" si="0"/>
        <v/>
      </c>
      <c r="K24" s="11" t="s">
        <v>21</v>
      </c>
    </row>
    <row r="25" spans="2:11" x14ac:dyDescent="0.45">
      <c r="B25" s="411"/>
      <c r="C25" s="11" t="s">
        <v>11</v>
      </c>
      <c r="D25" s="8"/>
      <c r="E25" s="19" t="s">
        <v>10</v>
      </c>
      <c r="F25" s="11" t="s">
        <v>7</v>
      </c>
      <c r="G25" s="332">
        <v>2.71</v>
      </c>
      <c r="H25" s="11" t="s">
        <v>23</v>
      </c>
      <c r="I25" s="11" t="s">
        <v>8</v>
      </c>
      <c r="J25" s="147" t="str">
        <f t="shared" si="0"/>
        <v/>
      </c>
      <c r="K25" s="11" t="s">
        <v>21</v>
      </c>
    </row>
    <row r="26" spans="2:11" x14ac:dyDescent="0.45">
      <c r="B26" s="411"/>
      <c r="C26" s="11" t="s">
        <v>12</v>
      </c>
      <c r="D26" s="8"/>
      <c r="E26" s="19" t="s">
        <v>10</v>
      </c>
      <c r="F26" s="11" t="s">
        <v>7</v>
      </c>
      <c r="G26" s="332">
        <v>2.4900000000000002</v>
      </c>
      <c r="H26" s="11" t="s">
        <v>23</v>
      </c>
      <c r="I26" s="11" t="s">
        <v>8</v>
      </c>
      <c r="J26" s="147" t="str">
        <f t="shared" si="0"/>
        <v/>
      </c>
      <c r="K26" s="11" t="s">
        <v>21</v>
      </c>
    </row>
    <row r="27" spans="2:11" x14ac:dyDescent="0.45">
      <c r="B27" s="411"/>
      <c r="C27" s="11" t="s">
        <v>13</v>
      </c>
      <c r="D27" s="8"/>
      <c r="E27" s="19" t="s">
        <v>10</v>
      </c>
      <c r="F27" s="11" t="s">
        <v>7</v>
      </c>
      <c r="G27" s="332">
        <v>2.58</v>
      </c>
      <c r="H27" s="11" t="s">
        <v>23</v>
      </c>
      <c r="I27" s="11" t="s">
        <v>8</v>
      </c>
      <c r="J27" s="147" t="str">
        <f t="shared" si="0"/>
        <v/>
      </c>
      <c r="K27" s="11" t="s">
        <v>21</v>
      </c>
    </row>
    <row r="28" spans="2:11" x14ac:dyDescent="0.45">
      <c r="B28" s="411"/>
      <c r="C28" s="11" t="s">
        <v>14</v>
      </c>
      <c r="D28" s="8"/>
      <c r="E28" s="19" t="s">
        <v>10</v>
      </c>
      <c r="F28" s="11" t="s">
        <v>7</v>
      </c>
      <c r="G28" s="332">
        <v>2.3199999999999998</v>
      </c>
      <c r="H28" s="11" t="s">
        <v>23</v>
      </c>
      <c r="I28" s="11" t="s">
        <v>8</v>
      </c>
      <c r="J28" s="147" t="str">
        <f t="shared" si="0"/>
        <v/>
      </c>
      <c r="K28" s="11" t="s">
        <v>21</v>
      </c>
    </row>
    <row r="29" spans="2:11" x14ac:dyDescent="0.45">
      <c r="B29" s="411"/>
      <c r="C29" s="11" t="s">
        <v>15</v>
      </c>
      <c r="D29" s="8"/>
      <c r="E29" s="19" t="s">
        <v>29</v>
      </c>
      <c r="F29" s="11" t="s">
        <v>7</v>
      </c>
      <c r="G29" s="332">
        <v>2.23</v>
      </c>
      <c r="H29" s="21" t="s">
        <v>30</v>
      </c>
      <c r="I29" s="11" t="s">
        <v>8</v>
      </c>
      <c r="J29" s="147" t="str">
        <f t="shared" si="0"/>
        <v/>
      </c>
      <c r="K29" s="11" t="s">
        <v>21</v>
      </c>
    </row>
    <row r="30" spans="2:11" x14ac:dyDescent="0.45">
      <c r="B30" s="411"/>
      <c r="C30" s="11" t="s">
        <v>16</v>
      </c>
      <c r="D30" s="8"/>
      <c r="E30" s="19" t="s">
        <v>29</v>
      </c>
      <c r="F30" s="11" t="s">
        <v>7</v>
      </c>
      <c r="G30" s="332">
        <v>3</v>
      </c>
      <c r="H30" s="11" t="s">
        <v>75</v>
      </c>
      <c r="I30" s="11" t="s">
        <v>8</v>
      </c>
      <c r="J30" s="147" t="str">
        <f t="shared" si="0"/>
        <v/>
      </c>
      <c r="K30" s="11" t="s">
        <v>21</v>
      </c>
    </row>
    <row r="31" spans="2:11" x14ac:dyDescent="0.45">
      <c r="B31" s="411"/>
      <c r="C31" s="11" t="s">
        <v>18</v>
      </c>
      <c r="D31" s="8"/>
      <c r="E31" s="19" t="s">
        <v>17</v>
      </c>
      <c r="F31" s="11" t="s">
        <v>7</v>
      </c>
      <c r="G31" s="332">
        <v>3.17</v>
      </c>
      <c r="H31" s="11" t="s">
        <v>24</v>
      </c>
      <c r="I31" s="11" t="s">
        <v>8</v>
      </c>
      <c r="J31" s="147" t="str">
        <f t="shared" si="0"/>
        <v/>
      </c>
      <c r="K31" s="11" t="s">
        <v>21</v>
      </c>
    </row>
    <row r="32" spans="2:11" x14ac:dyDescent="0.45">
      <c r="B32" s="411"/>
      <c r="C32" s="11" t="s">
        <v>1219</v>
      </c>
      <c r="D32" s="8"/>
      <c r="E32" s="19" t="s">
        <v>19</v>
      </c>
      <c r="F32" s="11" t="s">
        <v>7</v>
      </c>
      <c r="G32" s="332">
        <v>2.3199999999999998</v>
      </c>
      <c r="H32" s="11" t="s">
        <v>25</v>
      </c>
      <c r="I32" s="11" t="s">
        <v>8</v>
      </c>
      <c r="J32" s="147" t="str">
        <f>IF(D32="","",D32*G32)</f>
        <v/>
      </c>
      <c r="K32" s="11" t="s">
        <v>21</v>
      </c>
    </row>
    <row r="33" spans="2:11" ht="36" x14ac:dyDescent="0.45">
      <c r="B33" s="411"/>
      <c r="C33" s="25" t="s">
        <v>1218</v>
      </c>
      <c r="D33" s="8"/>
      <c r="E33" s="8"/>
      <c r="F33" s="11" t="s">
        <v>7</v>
      </c>
      <c r="G33" s="332">
        <v>0.5</v>
      </c>
      <c r="H33" s="8"/>
      <c r="I33" s="11" t="s">
        <v>8</v>
      </c>
      <c r="J33" s="147" t="str">
        <f>IF(D33="","",D33*G33)</f>
        <v/>
      </c>
      <c r="K33" s="11" t="s">
        <v>21</v>
      </c>
    </row>
    <row r="34" spans="2:11" ht="36" x14ac:dyDescent="0.45">
      <c r="B34" s="411"/>
      <c r="C34" s="25" t="s">
        <v>1218</v>
      </c>
      <c r="D34" s="8"/>
      <c r="E34" s="8"/>
      <c r="F34" s="11" t="s">
        <v>7</v>
      </c>
      <c r="G34" s="332">
        <v>0.5</v>
      </c>
      <c r="H34" s="8"/>
      <c r="I34" s="11" t="s">
        <v>8</v>
      </c>
      <c r="J34" s="147" t="str">
        <f>IF(D34="","",D34*G34)</f>
        <v/>
      </c>
      <c r="K34" s="11" t="s">
        <v>21</v>
      </c>
    </row>
    <row r="35" spans="2:11" ht="36" x14ac:dyDescent="0.45">
      <c r="B35" s="412"/>
      <c r="C35" s="25" t="s">
        <v>1218</v>
      </c>
      <c r="D35" s="8"/>
      <c r="E35" s="8"/>
      <c r="F35" s="11" t="s">
        <v>7</v>
      </c>
      <c r="G35" s="332">
        <v>0.5</v>
      </c>
      <c r="H35" s="8"/>
      <c r="I35" s="11" t="s">
        <v>8</v>
      </c>
      <c r="J35" s="147" t="str">
        <f>IF(D35="","",D35*G35)</f>
        <v/>
      </c>
      <c r="K35" s="11" t="s">
        <v>21</v>
      </c>
    </row>
    <row r="36" spans="2:11" x14ac:dyDescent="0.45">
      <c r="B36" s="402" t="s">
        <v>1176</v>
      </c>
      <c r="C36" s="402"/>
      <c r="D36" s="402"/>
      <c r="E36" s="402"/>
      <c r="F36" s="402"/>
      <c r="G36" s="402"/>
      <c r="H36" s="402"/>
      <c r="I36" s="402"/>
      <c r="J36" s="316">
        <f>SUM(J23:J35)</f>
        <v>0</v>
      </c>
      <c r="K36" s="12" t="s">
        <v>21</v>
      </c>
    </row>
    <row r="37" spans="2:11" x14ac:dyDescent="0.45">
      <c r="B37" s="402" t="s">
        <v>1180</v>
      </c>
      <c r="C37" s="402"/>
      <c r="D37" s="402"/>
      <c r="E37" s="402"/>
      <c r="F37" s="402"/>
      <c r="G37" s="402"/>
      <c r="H37" s="402"/>
      <c r="I37" s="402"/>
      <c r="J37" s="314" t="e">
        <f>J36/$C$9</f>
        <v>#DIV/0!</v>
      </c>
      <c r="K37" s="12" t="s">
        <v>1216</v>
      </c>
    </row>
    <row r="38" spans="2:11" x14ac:dyDescent="0.45">
      <c r="B38" s="146"/>
      <c r="E38" s="100"/>
    </row>
    <row r="39" spans="2:11" x14ac:dyDescent="0.45">
      <c r="B39" s="4" t="s">
        <v>1175</v>
      </c>
      <c r="E39" s="100"/>
    </row>
    <row r="40" spans="2:11" x14ac:dyDescent="0.45">
      <c r="B40" s="407" t="s">
        <v>27</v>
      </c>
      <c r="C40" s="407"/>
      <c r="D40" s="26" t="s">
        <v>76</v>
      </c>
      <c r="E40" s="11" t="s">
        <v>3</v>
      </c>
      <c r="F40" s="11"/>
      <c r="G40" s="11" t="s">
        <v>4</v>
      </c>
      <c r="H40" s="11" t="s">
        <v>3</v>
      </c>
      <c r="I40" s="11"/>
      <c r="J40" s="11" t="s">
        <v>5</v>
      </c>
      <c r="K40" s="11" t="s">
        <v>3</v>
      </c>
    </row>
    <row r="41" spans="2:11" ht="37.5" customHeight="1" x14ac:dyDescent="0.45">
      <c r="B41" s="403" t="s">
        <v>1170</v>
      </c>
      <c r="C41" s="404"/>
      <c r="D41" s="8"/>
      <c r="E41" s="19" t="s">
        <v>6</v>
      </c>
      <c r="F41" s="11" t="s">
        <v>7</v>
      </c>
      <c r="G41" s="332">
        <f>$C$13</f>
        <v>0.25</v>
      </c>
      <c r="H41" s="11" t="s">
        <v>22</v>
      </c>
      <c r="I41" s="11" t="s">
        <v>20</v>
      </c>
      <c r="J41" s="147" t="str">
        <f t="shared" ref="J41:J49" si="1">IF(D41="","",D41*G41)</f>
        <v/>
      </c>
      <c r="K41" s="11" t="s">
        <v>21</v>
      </c>
    </row>
    <row r="42" spans="2:11" ht="18.75" customHeight="1" x14ac:dyDescent="0.45">
      <c r="B42" s="410" t="s">
        <v>1171</v>
      </c>
      <c r="C42" s="11" t="s">
        <v>9</v>
      </c>
      <c r="D42" s="8"/>
      <c r="E42" s="19" t="s">
        <v>10</v>
      </c>
      <c r="F42" s="11" t="s">
        <v>7</v>
      </c>
      <c r="G42" s="332">
        <v>2.71</v>
      </c>
      <c r="H42" s="11" t="s">
        <v>23</v>
      </c>
      <c r="I42" s="11" t="s">
        <v>8</v>
      </c>
      <c r="J42" s="323" t="str">
        <f t="shared" si="1"/>
        <v/>
      </c>
      <c r="K42" s="11" t="s">
        <v>21</v>
      </c>
    </row>
    <row r="43" spans="2:11" x14ac:dyDescent="0.45">
      <c r="B43" s="411"/>
      <c r="C43" s="11" t="s">
        <v>11</v>
      </c>
      <c r="D43" s="8"/>
      <c r="E43" s="19" t="s">
        <v>10</v>
      </c>
      <c r="F43" s="11" t="s">
        <v>7</v>
      </c>
      <c r="G43" s="332">
        <v>2.71</v>
      </c>
      <c r="H43" s="11" t="s">
        <v>23</v>
      </c>
      <c r="I43" s="11" t="s">
        <v>8</v>
      </c>
      <c r="J43" s="147" t="str">
        <f t="shared" si="1"/>
        <v/>
      </c>
      <c r="K43" s="11" t="s">
        <v>21</v>
      </c>
    </row>
    <row r="44" spans="2:11" x14ac:dyDescent="0.45">
      <c r="B44" s="411"/>
      <c r="C44" s="11" t="s">
        <v>12</v>
      </c>
      <c r="D44" s="8"/>
      <c r="E44" s="19" t="s">
        <v>10</v>
      </c>
      <c r="F44" s="11" t="s">
        <v>7</v>
      </c>
      <c r="G44" s="332">
        <v>2.4900000000000002</v>
      </c>
      <c r="H44" s="11" t="s">
        <v>23</v>
      </c>
      <c r="I44" s="11" t="s">
        <v>8</v>
      </c>
      <c r="J44" s="147" t="str">
        <f t="shared" si="1"/>
        <v/>
      </c>
      <c r="K44" s="11" t="s">
        <v>21</v>
      </c>
    </row>
    <row r="45" spans="2:11" x14ac:dyDescent="0.45">
      <c r="B45" s="411"/>
      <c r="C45" s="11" t="s">
        <v>13</v>
      </c>
      <c r="D45" s="8"/>
      <c r="E45" s="19" t="s">
        <v>10</v>
      </c>
      <c r="F45" s="11" t="s">
        <v>7</v>
      </c>
      <c r="G45" s="332">
        <v>2.58</v>
      </c>
      <c r="H45" s="11" t="s">
        <v>23</v>
      </c>
      <c r="I45" s="11" t="s">
        <v>8</v>
      </c>
      <c r="J45" s="147" t="str">
        <f t="shared" si="1"/>
        <v/>
      </c>
      <c r="K45" s="11" t="s">
        <v>21</v>
      </c>
    </row>
    <row r="46" spans="2:11" x14ac:dyDescent="0.45">
      <c r="B46" s="411"/>
      <c r="C46" s="11" t="s">
        <v>14</v>
      </c>
      <c r="D46" s="8"/>
      <c r="E46" s="19" t="s">
        <v>10</v>
      </c>
      <c r="F46" s="11" t="s">
        <v>7</v>
      </c>
      <c r="G46" s="332">
        <v>2.3199999999999998</v>
      </c>
      <c r="H46" s="11" t="s">
        <v>23</v>
      </c>
      <c r="I46" s="11" t="s">
        <v>8</v>
      </c>
      <c r="J46" s="147" t="str">
        <f t="shared" si="1"/>
        <v/>
      </c>
      <c r="K46" s="11" t="s">
        <v>21</v>
      </c>
    </row>
    <row r="47" spans="2:11" x14ac:dyDescent="0.45">
      <c r="B47" s="411"/>
      <c r="C47" s="11" t="s">
        <v>15</v>
      </c>
      <c r="D47" s="8"/>
      <c r="E47" s="19" t="s">
        <v>29</v>
      </c>
      <c r="F47" s="11" t="s">
        <v>7</v>
      </c>
      <c r="G47" s="332">
        <v>2.23</v>
      </c>
      <c r="H47" s="21" t="s">
        <v>30</v>
      </c>
      <c r="I47" s="11" t="s">
        <v>8</v>
      </c>
      <c r="J47" s="147" t="str">
        <f t="shared" si="1"/>
        <v/>
      </c>
      <c r="K47" s="11" t="s">
        <v>21</v>
      </c>
    </row>
    <row r="48" spans="2:11" x14ac:dyDescent="0.45">
      <c r="B48" s="411"/>
      <c r="C48" s="11" t="s">
        <v>16</v>
      </c>
      <c r="D48" s="8"/>
      <c r="E48" s="19" t="s">
        <v>29</v>
      </c>
      <c r="F48" s="11" t="s">
        <v>7</v>
      </c>
      <c r="G48" s="332">
        <v>3</v>
      </c>
      <c r="H48" s="11" t="s">
        <v>75</v>
      </c>
      <c r="I48" s="11" t="s">
        <v>8</v>
      </c>
      <c r="J48" s="147" t="str">
        <f t="shared" si="1"/>
        <v/>
      </c>
      <c r="K48" s="11" t="s">
        <v>21</v>
      </c>
    </row>
    <row r="49" spans="2:11" x14ac:dyDescent="0.45">
      <c r="B49" s="411"/>
      <c r="C49" s="11" t="s">
        <v>18</v>
      </c>
      <c r="D49" s="8"/>
      <c r="E49" s="19" t="s">
        <v>17</v>
      </c>
      <c r="F49" s="11" t="s">
        <v>7</v>
      </c>
      <c r="G49" s="332">
        <v>3.17</v>
      </c>
      <c r="H49" s="11" t="s">
        <v>24</v>
      </c>
      <c r="I49" s="11" t="s">
        <v>8</v>
      </c>
      <c r="J49" s="147" t="str">
        <f t="shared" si="1"/>
        <v/>
      </c>
      <c r="K49" s="11" t="s">
        <v>21</v>
      </c>
    </row>
    <row r="50" spans="2:11" x14ac:dyDescent="0.45">
      <c r="B50" s="411"/>
      <c r="C50" s="11" t="s">
        <v>1219</v>
      </c>
      <c r="D50" s="8"/>
      <c r="E50" s="19" t="s">
        <v>19</v>
      </c>
      <c r="F50" s="11" t="s">
        <v>7</v>
      </c>
      <c r="G50" s="332">
        <v>2.3199999999999998</v>
      </c>
      <c r="H50" s="11" t="s">
        <v>25</v>
      </c>
      <c r="I50" s="11" t="s">
        <v>8</v>
      </c>
      <c r="J50" s="147" t="str">
        <f>IF(D50="","",D50*G50)</f>
        <v/>
      </c>
      <c r="K50" s="11" t="s">
        <v>21</v>
      </c>
    </row>
    <row r="51" spans="2:11" ht="36" x14ac:dyDescent="0.45">
      <c r="B51" s="411"/>
      <c r="C51" s="25" t="s">
        <v>1218</v>
      </c>
      <c r="D51" s="8"/>
      <c r="E51" s="8"/>
      <c r="F51" s="11" t="s">
        <v>7</v>
      </c>
      <c r="G51" s="332">
        <v>0.5</v>
      </c>
      <c r="H51" s="8"/>
      <c r="I51" s="11" t="s">
        <v>8</v>
      </c>
      <c r="J51" s="147" t="str">
        <f>IF(D51="","",D51*G51)</f>
        <v/>
      </c>
      <c r="K51" s="11" t="s">
        <v>21</v>
      </c>
    </row>
    <row r="52" spans="2:11" ht="36" x14ac:dyDescent="0.45">
      <c r="B52" s="411"/>
      <c r="C52" s="25" t="s">
        <v>1218</v>
      </c>
      <c r="D52" s="8"/>
      <c r="E52" s="8"/>
      <c r="F52" s="11" t="s">
        <v>7</v>
      </c>
      <c r="G52" s="332">
        <v>0.5</v>
      </c>
      <c r="H52" s="8"/>
      <c r="I52" s="11" t="s">
        <v>8</v>
      </c>
      <c r="J52" s="147" t="str">
        <f>IF(D52="","",D52*G52)</f>
        <v/>
      </c>
      <c r="K52" s="11" t="s">
        <v>21</v>
      </c>
    </row>
    <row r="53" spans="2:11" ht="36" x14ac:dyDescent="0.45">
      <c r="B53" s="412"/>
      <c r="C53" s="25" t="s">
        <v>1218</v>
      </c>
      <c r="D53" s="8"/>
      <c r="E53" s="8"/>
      <c r="F53" s="11" t="s">
        <v>7</v>
      </c>
      <c r="G53" s="332">
        <v>0.5</v>
      </c>
      <c r="H53" s="8"/>
      <c r="I53" s="11" t="s">
        <v>8</v>
      </c>
      <c r="J53" s="147" t="str">
        <f>IF(D53="","",D53*G53)</f>
        <v/>
      </c>
      <c r="K53" s="11" t="s">
        <v>21</v>
      </c>
    </row>
    <row r="54" spans="2:11" x14ac:dyDescent="0.45">
      <c r="B54" s="402" t="s">
        <v>1178</v>
      </c>
      <c r="C54" s="402"/>
      <c r="D54" s="402"/>
      <c r="E54" s="402"/>
      <c r="F54" s="402"/>
      <c r="G54" s="402"/>
      <c r="H54" s="402"/>
      <c r="I54" s="402"/>
      <c r="J54" s="316">
        <f>SUM(J41:J53)</f>
        <v>0</v>
      </c>
      <c r="K54" s="12" t="s">
        <v>21</v>
      </c>
    </row>
    <row r="55" spans="2:11" x14ac:dyDescent="0.45">
      <c r="B55" s="402" t="s">
        <v>1179</v>
      </c>
      <c r="C55" s="402"/>
      <c r="D55" s="402"/>
      <c r="E55" s="402"/>
      <c r="F55" s="402"/>
      <c r="G55" s="402"/>
      <c r="H55" s="402"/>
      <c r="I55" s="402"/>
      <c r="J55" s="314" t="e">
        <f>J54/$C$10</f>
        <v>#DIV/0!</v>
      </c>
      <c r="K55" s="12" t="s">
        <v>1216</v>
      </c>
    </row>
    <row r="56" spans="2:11" x14ac:dyDescent="0.45">
      <c r="B56" s="146"/>
      <c r="C56" s="146"/>
      <c r="D56" s="84"/>
    </row>
    <row r="57" spans="2:11" x14ac:dyDescent="0.45">
      <c r="B57" s="4" t="s">
        <v>1231</v>
      </c>
    </row>
    <row r="58" spans="2:11" x14ac:dyDescent="0.45">
      <c r="B58" s="3" t="s">
        <v>1232</v>
      </c>
    </row>
    <row r="60" spans="2:11" x14ac:dyDescent="0.45">
      <c r="B60" s="3" t="s">
        <v>1241</v>
      </c>
    </row>
    <row r="61" spans="2:11" ht="19.8" x14ac:dyDescent="0.45">
      <c r="B61" s="11" t="s">
        <v>31</v>
      </c>
      <c r="C61" s="7" t="str">
        <f>IF(OR(C10="",C10=0),"",C10)</f>
        <v/>
      </c>
      <c r="D61" s="11" t="s">
        <v>32</v>
      </c>
      <c r="E61" s="11" t="s">
        <v>26</v>
      </c>
      <c r="F61" s="11">
        <v>365</v>
      </c>
      <c r="G61" s="11" t="s">
        <v>33</v>
      </c>
      <c r="H61" s="11" t="s">
        <v>8</v>
      </c>
      <c r="I61" s="22" t="e">
        <f>C61/F61*1000</f>
        <v>#VALUE!</v>
      </c>
      <c r="J61" s="11" t="s">
        <v>34</v>
      </c>
    </row>
    <row r="63" spans="2:11" x14ac:dyDescent="0.45">
      <c r="B63" s="3" t="s">
        <v>1242</v>
      </c>
      <c r="C63" s="27" t="s">
        <v>78</v>
      </c>
      <c r="D63" s="414">
        <f>$C$14</f>
        <v>0</v>
      </c>
      <c r="E63" s="414"/>
    </row>
    <row r="64" spans="2:11" ht="36" x14ac:dyDescent="0.45">
      <c r="B64" s="11"/>
      <c r="C64" s="11" t="s">
        <v>35</v>
      </c>
      <c r="D64" s="25" t="s">
        <v>1204</v>
      </c>
      <c r="E64" s="11" t="s">
        <v>1244</v>
      </c>
      <c r="F64" s="11"/>
      <c r="G64" s="11" t="s">
        <v>1233</v>
      </c>
      <c r="H64" s="11" t="s">
        <v>28</v>
      </c>
    </row>
    <row r="65" spans="2:20" ht="36" x14ac:dyDescent="0.45">
      <c r="B65" s="25" t="s">
        <v>1234</v>
      </c>
      <c r="C65" s="7" t="e">
        <f>VLOOKUP($D$63,選択肢リスト!D:F,2,FALSE)</f>
        <v>#N/A</v>
      </c>
      <c r="D65" s="24" t="e">
        <f>LOG10(I61)</f>
        <v>#VALUE!</v>
      </c>
      <c r="E65" s="7" t="e">
        <f>VLOOKUP($D$63,選択肢リスト!D:F,3,FALSE)</f>
        <v>#N/A</v>
      </c>
      <c r="F65" s="11" t="s">
        <v>36</v>
      </c>
      <c r="G65" s="23" t="e">
        <f>C65*(D65)^E65</f>
        <v>#N/A</v>
      </c>
      <c r="H65" s="11" t="s">
        <v>478</v>
      </c>
    </row>
    <row r="66" spans="2:20" hidden="1" x14ac:dyDescent="0.45">
      <c r="B66" s="406" t="s">
        <v>1235</v>
      </c>
      <c r="C66" s="406"/>
      <c r="D66" s="406"/>
      <c r="E66" s="406"/>
      <c r="F66" s="406"/>
      <c r="G66" s="11"/>
      <c r="H66" s="11" t="s">
        <v>37</v>
      </c>
    </row>
    <row r="69" spans="2:20" x14ac:dyDescent="0.45">
      <c r="B69" s="4" t="s">
        <v>1245</v>
      </c>
    </row>
    <row r="70" spans="2:20" x14ac:dyDescent="0.45">
      <c r="B70" s="4" t="s">
        <v>1246</v>
      </c>
    </row>
    <row r="71" spans="2:20" x14ac:dyDescent="0.45">
      <c r="B71" s="4"/>
    </row>
    <row r="72" spans="2:20" x14ac:dyDescent="0.45">
      <c r="B72" s="15"/>
      <c r="C72" s="26" t="s">
        <v>1199</v>
      </c>
      <c r="D72" s="407" t="s">
        <v>1247</v>
      </c>
      <c r="E72" s="407"/>
      <c r="F72" s="407"/>
      <c r="G72" s="407"/>
      <c r="H72" s="407"/>
      <c r="I72" s="407"/>
      <c r="J72" s="407"/>
      <c r="K72" s="407"/>
      <c r="L72" s="407"/>
      <c r="M72" s="407"/>
      <c r="N72" s="407"/>
      <c r="O72" s="407"/>
      <c r="P72" s="407"/>
      <c r="Q72" s="407"/>
      <c r="R72" s="407"/>
      <c r="S72" s="407"/>
      <c r="T72" s="407"/>
    </row>
    <row r="73" spans="2:20" x14ac:dyDescent="0.45">
      <c r="B73" s="227" t="s">
        <v>1198</v>
      </c>
      <c r="C73" s="227" t="s">
        <v>1172</v>
      </c>
      <c r="D73" s="227" t="s">
        <v>1181</v>
      </c>
      <c r="E73" s="227" t="s">
        <v>1182</v>
      </c>
      <c r="F73" s="227" t="s">
        <v>1183</v>
      </c>
      <c r="G73" s="227" t="s">
        <v>1184</v>
      </c>
      <c r="H73" s="227" t="s">
        <v>1185</v>
      </c>
      <c r="I73" s="227" t="s">
        <v>1186</v>
      </c>
      <c r="J73" s="227" t="s">
        <v>1187</v>
      </c>
      <c r="K73" s="227" t="s">
        <v>1188</v>
      </c>
      <c r="L73" s="227" t="s">
        <v>1189</v>
      </c>
      <c r="M73" s="227" t="s">
        <v>1190</v>
      </c>
      <c r="N73" s="227" t="s">
        <v>1191</v>
      </c>
      <c r="O73" s="227" t="s">
        <v>1192</v>
      </c>
      <c r="P73" s="227" t="s">
        <v>1193</v>
      </c>
      <c r="Q73" s="227" t="s">
        <v>1194</v>
      </c>
      <c r="R73" s="227" t="s">
        <v>1195</v>
      </c>
      <c r="S73" s="227" t="s">
        <v>1196</v>
      </c>
      <c r="T73" s="315" t="s">
        <v>1197</v>
      </c>
    </row>
    <row r="74" spans="2:20" ht="36" x14ac:dyDescent="0.45">
      <c r="B74" s="309" t="s">
        <v>1217</v>
      </c>
      <c r="C74" s="317" t="e">
        <f>J37</f>
        <v>#DIV/0!</v>
      </c>
      <c r="D74" s="318" t="e">
        <f>C74-C74*2/100</f>
        <v>#DIV/0!</v>
      </c>
      <c r="E74" s="318" t="e">
        <f t="shared" ref="E74:T74" si="2">D74-D74*2/100</f>
        <v>#DIV/0!</v>
      </c>
      <c r="F74" s="318" t="e">
        <f t="shared" si="2"/>
        <v>#DIV/0!</v>
      </c>
      <c r="G74" s="318" t="e">
        <f t="shared" si="2"/>
        <v>#DIV/0!</v>
      </c>
      <c r="H74" s="318" t="e">
        <f t="shared" si="2"/>
        <v>#DIV/0!</v>
      </c>
      <c r="I74" s="318" t="e">
        <f t="shared" si="2"/>
        <v>#DIV/0!</v>
      </c>
      <c r="J74" s="318" t="e">
        <f t="shared" si="2"/>
        <v>#DIV/0!</v>
      </c>
      <c r="K74" s="318" t="e">
        <f t="shared" si="2"/>
        <v>#DIV/0!</v>
      </c>
      <c r="L74" s="318" t="e">
        <f t="shared" si="2"/>
        <v>#DIV/0!</v>
      </c>
      <c r="M74" s="318" t="e">
        <f t="shared" si="2"/>
        <v>#DIV/0!</v>
      </c>
      <c r="N74" s="318" t="e">
        <f t="shared" si="2"/>
        <v>#DIV/0!</v>
      </c>
      <c r="O74" s="318" t="e">
        <f t="shared" si="2"/>
        <v>#DIV/0!</v>
      </c>
      <c r="P74" s="318" t="e">
        <f t="shared" si="2"/>
        <v>#DIV/0!</v>
      </c>
      <c r="Q74" s="318" t="e">
        <f t="shared" si="2"/>
        <v>#DIV/0!</v>
      </c>
      <c r="R74" s="318" t="e">
        <f t="shared" si="2"/>
        <v>#DIV/0!</v>
      </c>
      <c r="S74" s="318" t="e">
        <f t="shared" si="2"/>
        <v>#DIV/0!</v>
      </c>
      <c r="T74" s="319" t="e">
        <f t="shared" si="2"/>
        <v>#DIV/0!</v>
      </c>
    </row>
    <row r="75" spans="2:20" x14ac:dyDescent="0.45">
      <c r="B75" s="4"/>
    </row>
    <row r="76" spans="2:20" x14ac:dyDescent="0.45">
      <c r="B76" s="4" t="s">
        <v>1200</v>
      </c>
    </row>
    <row r="77" spans="2:20" x14ac:dyDescent="0.45">
      <c r="B77" s="4"/>
    </row>
    <row r="78" spans="2:20" ht="55.5" customHeight="1" x14ac:dyDescent="0.45">
      <c r="B78" s="15"/>
      <c r="C78" s="413" t="s">
        <v>1208</v>
      </c>
      <c r="D78" s="407"/>
      <c r="E78" s="413" t="s">
        <v>1210</v>
      </c>
      <c r="F78" s="407"/>
    </row>
    <row r="79" spans="2:20" x14ac:dyDescent="0.45">
      <c r="B79" s="21" t="s">
        <v>1174</v>
      </c>
      <c r="C79" s="405" t="e">
        <f>$J$37</f>
        <v>#DIV/0!</v>
      </c>
      <c r="D79" s="405"/>
      <c r="E79" s="401" t="e">
        <f>$C$79*$C$10</f>
        <v>#DIV/0!</v>
      </c>
      <c r="F79" s="401"/>
    </row>
    <row r="80" spans="2:20" x14ac:dyDescent="0.45">
      <c r="B80" s="21" t="s">
        <v>1175</v>
      </c>
      <c r="C80" s="405" t="e">
        <f>$J$55</f>
        <v>#DIV/0!</v>
      </c>
      <c r="D80" s="405"/>
      <c r="E80" s="401" t="e">
        <f>$C$80*$C$10</f>
        <v>#DIV/0!</v>
      </c>
      <c r="F80" s="401"/>
    </row>
    <row r="81" spans="2:6" x14ac:dyDescent="0.45">
      <c r="B81" s="21" t="s">
        <v>1236</v>
      </c>
      <c r="C81" s="405" t="e">
        <f>$G$65</f>
        <v>#N/A</v>
      </c>
      <c r="D81" s="405"/>
      <c r="E81" s="401" t="e">
        <f>$C$81*$C$10</f>
        <v>#N/A</v>
      </c>
      <c r="F81" s="401"/>
    </row>
    <row r="82" spans="2:6" x14ac:dyDescent="0.45">
      <c r="B82" s="21" t="s">
        <v>1248</v>
      </c>
      <c r="C82" s="405" t="e">
        <f>$T$74</f>
        <v>#DIV/0!</v>
      </c>
      <c r="D82" s="405"/>
      <c r="E82" s="401" t="e">
        <f>$C$82*$C$10</f>
        <v>#DIV/0!</v>
      </c>
      <c r="F82" s="401"/>
    </row>
    <row r="83" spans="2:6" x14ac:dyDescent="0.45">
      <c r="B83" s="4" t="s">
        <v>1224</v>
      </c>
    </row>
    <row r="84" spans="2:6" x14ac:dyDescent="0.45">
      <c r="B84" s="4"/>
    </row>
    <row r="85" spans="2:6" x14ac:dyDescent="0.45">
      <c r="B85" s="4"/>
    </row>
    <row r="86" spans="2:6" x14ac:dyDescent="0.45">
      <c r="B86" s="4"/>
    </row>
    <row r="87" spans="2:6" x14ac:dyDescent="0.45">
      <c r="B87" s="4"/>
      <c r="F87" s="4"/>
    </row>
    <row r="88" spans="2:6" x14ac:dyDescent="0.45">
      <c r="B88" s="4"/>
    </row>
    <row r="89" spans="2:6" x14ac:dyDescent="0.45">
      <c r="B89" s="4"/>
    </row>
    <row r="110" spans="2:13" x14ac:dyDescent="0.45">
      <c r="B110" s="4" t="s">
        <v>1206</v>
      </c>
      <c r="J110" s="4" t="s">
        <v>1206</v>
      </c>
    </row>
    <row r="111" spans="2:13" x14ac:dyDescent="0.45">
      <c r="B111" s="314" t="e">
        <f>C79-C80</f>
        <v>#DIV/0!</v>
      </c>
      <c r="C111" s="400" t="s">
        <v>1207</v>
      </c>
      <c r="D111" s="400"/>
      <c r="F111" s="320"/>
      <c r="J111" s="316" t="e">
        <f>E79-E80</f>
        <v>#DIV/0!</v>
      </c>
      <c r="K111" s="400" t="s">
        <v>1209</v>
      </c>
      <c r="L111" s="400"/>
      <c r="M111" s="400"/>
    </row>
    <row r="112" spans="2:13" x14ac:dyDescent="0.45">
      <c r="B112" t="s">
        <v>1205</v>
      </c>
      <c r="C112" s="321"/>
      <c r="D112" s="321"/>
      <c r="F112" s="320"/>
      <c r="J112" t="s">
        <v>1205</v>
      </c>
      <c r="K112" s="321"/>
      <c r="L112" s="321"/>
    </row>
    <row r="114" spans="2:13" x14ac:dyDescent="0.45">
      <c r="B114" s="4" t="s">
        <v>1227</v>
      </c>
      <c r="J114" s="4" t="s">
        <v>1227</v>
      </c>
    </row>
    <row r="115" spans="2:13" x14ac:dyDescent="0.45">
      <c r="B115" s="314" t="e">
        <f>C80-C81</f>
        <v>#DIV/0!</v>
      </c>
      <c r="C115" s="400" t="s">
        <v>1150</v>
      </c>
      <c r="D115" s="400"/>
      <c r="J115" s="316" t="e">
        <f>E80-E81</f>
        <v>#DIV/0!</v>
      </c>
      <c r="K115" s="400" t="s">
        <v>1211</v>
      </c>
      <c r="L115" s="400"/>
      <c r="M115" s="400"/>
    </row>
    <row r="116" spans="2:13" x14ac:dyDescent="0.45">
      <c r="B116" t="s">
        <v>1228</v>
      </c>
      <c r="F116" s="320"/>
      <c r="J116" t="s">
        <v>1228</v>
      </c>
    </row>
    <row r="117" spans="2:13" x14ac:dyDescent="0.45">
      <c r="B117" t="s">
        <v>1229</v>
      </c>
      <c r="F117" s="320"/>
      <c r="J117" t="s">
        <v>1229</v>
      </c>
    </row>
    <row r="118" spans="2:13" x14ac:dyDescent="0.45">
      <c r="F118" s="320"/>
    </row>
    <row r="119" spans="2:13" x14ac:dyDescent="0.45">
      <c r="B119" s="4" t="s">
        <v>1249</v>
      </c>
      <c r="J119" s="4" t="s">
        <v>1249</v>
      </c>
    </row>
    <row r="120" spans="2:13" x14ac:dyDescent="0.45">
      <c r="B120" s="314" t="e">
        <f>C80-C82</f>
        <v>#DIV/0!</v>
      </c>
      <c r="C120" s="400" t="s">
        <v>1150</v>
      </c>
      <c r="D120" s="400"/>
      <c r="J120" s="316" t="e">
        <f>E80-E82</f>
        <v>#DIV/0!</v>
      </c>
      <c r="K120" s="400" t="s">
        <v>1211</v>
      </c>
      <c r="L120" s="400"/>
      <c r="M120" s="400"/>
    </row>
    <row r="121" spans="2:13" x14ac:dyDescent="0.45">
      <c r="B121" t="s">
        <v>1250</v>
      </c>
      <c r="J121" t="s">
        <v>1250</v>
      </c>
    </row>
    <row r="122" spans="2:13" x14ac:dyDescent="0.45">
      <c r="B122" t="s">
        <v>1229</v>
      </c>
      <c r="F122" s="320"/>
      <c r="J122" t="s">
        <v>1229</v>
      </c>
    </row>
    <row r="123" spans="2:13" x14ac:dyDescent="0.45">
      <c r="F123" s="320"/>
    </row>
  </sheetData>
  <mergeCells count="31">
    <mergeCell ref="E78:F78"/>
    <mergeCell ref="E79:F79"/>
    <mergeCell ref="E80:F80"/>
    <mergeCell ref="E81:F81"/>
    <mergeCell ref="B42:B53"/>
    <mergeCell ref="D63:E63"/>
    <mergeCell ref="C78:D78"/>
    <mergeCell ref="C79:D79"/>
    <mergeCell ref="C80:D80"/>
    <mergeCell ref="C111:D111"/>
    <mergeCell ref="C14:D14"/>
    <mergeCell ref="B22:C22"/>
    <mergeCell ref="B40:C40"/>
    <mergeCell ref="B23:C23"/>
    <mergeCell ref="B24:B35"/>
    <mergeCell ref="F11:R11"/>
    <mergeCell ref="K111:M111"/>
    <mergeCell ref="K115:M115"/>
    <mergeCell ref="K120:M120"/>
    <mergeCell ref="E82:F82"/>
    <mergeCell ref="B36:I36"/>
    <mergeCell ref="B54:I54"/>
    <mergeCell ref="B55:I55"/>
    <mergeCell ref="B37:I37"/>
    <mergeCell ref="B41:C41"/>
    <mergeCell ref="C81:D81"/>
    <mergeCell ref="C82:D82"/>
    <mergeCell ref="C115:D115"/>
    <mergeCell ref="C120:D120"/>
    <mergeCell ref="B66:F66"/>
    <mergeCell ref="D72:T72"/>
  </mergeCells>
  <phoneticPr fontId="5"/>
  <dataValidations count="2">
    <dataValidation type="list" allowBlank="1" showInputMessage="1" showErrorMessage="1" sqref="C11" xr:uid="{2992B1EB-F5F0-4FCB-B757-AD63128A3CC7}">
      <formula1>"(水処理方式),OD法,高度処理,標準法"</formula1>
    </dataValidation>
    <dataValidation type="list" allowBlank="1" showInputMessage="1" showErrorMessage="1" sqref="C12" xr:uid="{FED74C5B-5D7B-4BB9-8B5F-8A3965B01CB7}">
      <formula1>"(焼却設備の有無),焼却あり,焼却なし"</formula1>
    </dataValidation>
  </dataValidations>
  <pageMargins left="0.7" right="0.7" top="0.75" bottom="0.75" header="0.3" footer="0.3"/>
  <pageSetup paperSize="8" scale="41" orientation="portrait" r:id="rId1"/>
  <rowBreaks count="1" manualBreakCount="1">
    <brk id="56" max="2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DDF4A-E846-40EA-8F1D-E7C3F982D152}">
  <sheetPr>
    <tabColor rgb="FF0070C0"/>
    <pageSetUpPr fitToPage="1"/>
  </sheetPr>
  <dimension ref="B2:K24"/>
  <sheetViews>
    <sheetView showGridLines="0" zoomScale="70" zoomScaleNormal="70" workbookViewId="0"/>
  </sheetViews>
  <sheetFormatPr defaultRowHeight="18" x14ac:dyDescent="0.45"/>
  <cols>
    <col min="2" max="2" width="19.19921875" customWidth="1"/>
    <col min="3" max="3" width="10.3984375" customWidth="1"/>
    <col min="4" max="4" width="31.69921875" bestFit="1" customWidth="1"/>
    <col min="5" max="5" width="75.19921875" bestFit="1" customWidth="1"/>
    <col min="6" max="6" width="77.5" bestFit="1" customWidth="1"/>
    <col min="7" max="7" width="44.19921875" bestFit="1" customWidth="1"/>
    <col min="8" max="8" width="23.5" bestFit="1" customWidth="1"/>
    <col min="9" max="9" width="19.19921875" bestFit="1" customWidth="1"/>
    <col min="10" max="10" width="25.5" bestFit="1" customWidth="1"/>
    <col min="11" max="11" width="23" customWidth="1"/>
  </cols>
  <sheetData>
    <row r="2" spans="2:11" x14ac:dyDescent="0.45">
      <c r="B2" s="3" t="s">
        <v>102</v>
      </c>
    </row>
    <row r="3" spans="2:11" x14ac:dyDescent="0.45">
      <c r="B3" s="38" t="s">
        <v>104</v>
      </c>
      <c r="C3" s="38"/>
      <c r="D3" s="38"/>
      <c r="E3" s="38"/>
      <c r="F3" s="38"/>
      <c r="G3" s="38"/>
      <c r="H3" s="38"/>
      <c r="I3" s="37"/>
    </row>
    <row r="4" spans="2:11" x14ac:dyDescent="0.45">
      <c r="B4" s="38" t="s">
        <v>140</v>
      </c>
      <c r="C4" s="37"/>
      <c r="D4" s="37"/>
      <c r="E4" s="37"/>
      <c r="F4" s="37"/>
      <c r="G4" s="37"/>
      <c r="H4" s="37"/>
      <c r="I4" s="37"/>
    </row>
    <row r="6" spans="2:11" ht="36" x14ac:dyDescent="0.45">
      <c r="B6" s="418" t="s">
        <v>103</v>
      </c>
      <c r="C6" s="421" t="s">
        <v>105</v>
      </c>
      <c r="D6" s="16" t="s">
        <v>82</v>
      </c>
      <c r="E6" s="420" t="s">
        <v>98</v>
      </c>
      <c r="F6" s="420" t="s">
        <v>1151</v>
      </c>
      <c r="G6" s="420" t="s">
        <v>482</v>
      </c>
      <c r="H6" s="418" t="s">
        <v>493</v>
      </c>
      <c r="I6" s="17" t="s">
        <v>100</v>
      </c>
      <c r="J6" s="17" t="s">
        <v>1212</v>
      </c>
      <c r="K6" s="17" t="s">
        <v>475</v>
      </c>
    </row>
    <row r="7" spans="2:11" x14ac:dyDescent="0.45">
      <c r="B7" s="419"/>
      <c r="C7" s="422"/>
      <c r="D7" s="16" t="s">
        <v>498</v>
      </c>
      <c r="E7" s="419"/>
      <c r="F7" s="419"/>
      <c r="G7" s="419"/>
      <c r="H7" s="419"/>
      <c r="I7" s="16" t="s">
        <v>21</v>
      </c>
      <c r="J7" s="16" t="s">
        <v>21</v>
      </c>
      <c r="K7" s="16" t="s">
        <v>89</v>
      </c>
    </row>
    <row r="8" spans="2:11" x14ac:dyDescent="0.45">
      <c r="B8" s="16"/>
      <c r="C8" s="36" t="s">
        <v>101</v>
      </c>
      <c r="D8" s="16" t="s">
        <v>0</v>
      </c>
      <c r="E8" s="10" t="s">
        <v>99</v>
      </c>
      <c r="F8" s="10" t="s">
        <v>1160</v>
      </c>
      <c r="G8" s="10" t="s">
        <v>483</v>
      </c>
      <c r="H8" s="10" t="s">
        <v>488</v>
      </c>
      <c r="I8" s="34" t="str">
        <f>IF($B8="○",水処理対策No.1!D15,"")</f>
        <v/>
      </c>
      <c r="J8" s="34" t="str">
        <f>IF($B8="○",ツール入力シート!$E$80,"")</f>
        <v/>
      </c>
      <c r="K8" s="35" t="str">
        <f>IF(I8&lt;&gt;"",I8/J8*100,"")</f>
        <v/>
      </c>
    </row>
    <row r="9" spans="2:11" x14ac:dyDescent="0.45">
      <c r="B9" s="16"/>
      <c r="C9" s="36" t="s">
        <v>106</v>
      </c>
      <c r="D9" s="16" t="s">
        <v>0</v>
      </c>
      <c r="E9" s="1" t="s">
        <v>107</v>
      </c>
      <c r="F9" s="10" t="s">
        <v>1161</v>
      </c>
      <c r="G9" s="1" t="s">
        <v>484</v>
      </c>
      <c r="H9" s="10" t="s">
        <v>489</v>
      </c>
      <c r="I9" s="34" t="str">
        <f>IF($B9="○",水処理対策No.2!D33,"")</f>
        <v/>
      </c>
      <c r="J9" s="34" t="str">
        <f>IF($B9="○",ツール入力シート!$E$80,"")</f>
        <v/>
      </c>
      <c r="K9" s="35" t="str">
        <f t="shared" ref="K9:K17" si="0">IF(I9&lt;&gt;"",I9/J9*100,"")</f>
        <v/>
      </c>
    </row>
    <row r="10" spans="2:11" x14ac:dyDescent="0.45">
      <c r="B10" s="16"/>
      <c r="C10" s="36" t="s">
        <v>139</v>
      </c>
      <c r="D10" s="16" t="s">
        <v>141</v>
      </c>
      <c r="E10" s="1" t="s">
        <v>128</v>
      </c>
      <c r="F10" s="10" t="s">
        <v>1164</v>
      </c>
      <c r="G10" s="1" t="s">
        <v>481</v>
      </c>
      <c r="H10" s="10" t="s">
        <v>490</v>
      </c>
      <c r="I10" s="34" t="str">
        <f>IF($B10="○",水処理対策No.3!D16,"")</f>
        <v/>
      </c>
      <c r="J10" s="34" t="str">
        <f>IF($B10="○",ツール入力シート!$E$80,"")</f>
        <v/>
      </c>
      <c r="K10" s="35" t="str">
        <f t="shared" si="0"/>
        <v/>
      </c>
    </row>
    <row r="11" spans="2:11" x14ac:dyDescent="0.45">
      <c r="B11" s="16"/>
      <c r="C11" s="36" t="s">
        <v>473</v>
      </c>
      <c r="D11" s="16" t="s">
        <v>141</v>
      </c>
      <c r="E11" s="1" t="s">
        <v>142</v>
      </c>
      <c r="F11" s="10" t="s">
        <v>1162</v>
      </c>
      <c r="G11" s="1" t="s">
        <v>483</v>
      </c>
      <c r="H11" s="10" t="s">
        <v>491</v>
      </c>
      <c r="I11" s="34" t="str">
        <f>IF($B11="○",水処理対策No.4!$D$16,"")</f>
        <v/>
      </c>
      <c r="J11" s="34" t="str">
        <f>IF($B11="○",ツール入力シート!$E$80,"")</f>
        <v/>
      </c>
      <c r="K11" s="35" t="str">
        <f t="shared" si="0"/>
        <v/>
      </c>
    </row>
    <row r="12" spans="2:11" x14ac:dyDescent="0.45">
      <c r="B12" s="16"/>
      <c r="C12" s="36" t="s">
        <v>198</v>
      </c>
      <c r="D12" s="16" t="s">
        <v>141</v>
      </c>
      <c r="E12" s="1" t="s">
        <v>147</v>
      </c>
      <c r="F12" s="10" t="s">
        <v>1163</v>
      </c>
      <c r="G12" s="1" t="s">
        <v>483</v>
      </c>
      <c r="H12" s="10" t="s">
        <v>492</v>
      </c>
      <c r="I12" s="34" t="str">
        <f>IF($B12="○",水処理対策No.5!D16,"")</f>
        <v/>
      </c>
      <c r="J12" s="34" t="str">
        <f>IF($B12="○",ツール入力シート!$E$80,"")</f>
        <v/>
      </c>
      <c r="K12" s="35" t="str">
        <f t="shared" si="0"/>
        <v/>
      </c>
    </row>
    <row r="13" spans="2:11" ht="54" x14ac:dyDescent="0.45">
      <c r="B13" s="16"/>
      <c r="C13" s="36" t="s">
        <v>204</v>
      </c>
      <c r="D13" s="16" t="s">
        <v>141</v>
      </c>
      <c r="E13" s="1" t="s">
        <v>111</v>
      </c>
      <c r="F13" s="109" t="s">
        <v>1153</v>
      </c>
      <c r="G13" s="1" t="s">
        <v>485</v>
      </c>
      <c r="H13" s="10" t="s">
        <v>494</v>
      </c>
      <c r="I13" s="34" t="str">
        <f>IF($B13="○",水処理対策No.6!D16,"")</f>
        <v/>
      </c>
      <c r="J13" s="34" t="str">
        <f>IF($B13="○",ツール入力シート!$E$80,"")</f>
        <v/>
      </c>
      <c r="K13" s="35" t="str">
        <f t="shared" si="0"/>
        <v/>
      </c>
    </row>
    <row r="14" spans="2:11" ht="54" x14ac:dyDescent="0.45">
      <c r="B14" s="16"/>
      <c r="C14" s="36" t="s">
        <v>208</v>
      </c>
      <c r="D14" s="16" t="s">
        <v>206</v>
      </c>
      <c r="E14" s="1" t="s">
        <v>205</v>
      </c>
      <c r="F14" s="109" t="s">
        <v>1154</v>
      </c>
      <c r="G14" s="1" t="s">
        <v>486</v>
      </c>
      <c r="H14" s="10" t="s">
        <v>494</v>
      </c>
      <c r="I14" s="34" t="str">
        <f>IF($B14="○",水処理対策No.7!D16,"")</f>
        <v/>
      </c>
      <c r="J14" s="34" t="str">
        <f>IF($B14="○",ツール入力シート!$E$80,"")</f>
        <v/>
      </c>
      <c r="K14" s="35" t="str">
        <f t="shared" si="0"/>
        <v/>
      </c>
    </row>
    <row r="15" spans="2:11" ht="90" x14ac:dyDescent="0.45">
      <c r="B15" s="16"/>
      <c r="C15" s="36" t="s">
        <v>217</v>
      </c>
      <c r="D15" s="16" t="s">
        <v>206</v>
      </c>
      <c r="E15" s="1" t="s">
        <v>218</v>
      </c>
      <c r="F15" s="109" t="s">
        <v>1155</v>
      </c>
      <c r="G15" s="1" t="s">
        <v>486</v>
      </c>
      <c r="H15" s="10" t="s">
        <v>494</v>
      </c>
      <c r="I15" s="34" t="str">
        <f>IF($B15="○",水処理対策No.8!D18,"")</f>
        <v/>
      </c>
      <c r="J15" s="34" t="str">
        <f>IF($B15="○",ツール入力シート!$E$80,"")</f>
        <v/>
      </c>
      <c r="K15" s="35" t="str">
        <f t="shared" si="0"/>
        <v/>
      </c>
    </row>
    <row r="16" spans="2:11" ht="72" x14ac:dyDescent="0.45">
      <c r="B16" s="16"/>
      <c r="C16" s="36" t="s">
        <v>227</v>
      </c>
      <c r="D16" s="16" t="s">
        <v>141</v>
      </c>
      <c r="E16" s="1" t="s">
        <v>226</v>
      </c>
      <c r="F16" s="109" t="s">
        <v>1152</v>
      </c>
      <c r="G16" s="1" t="s">
        <v>487</v>
      </c>
      <c r="H16" s="10" t="s">
        <v>494</v>
      </c>
      <c r="I16" s="34" t="str">
        <f>IF($B16="○",水処理対策No.9!D16,"")</f>
        <v/>
      </c>
      <c r="J16" s="34" t="str">
        <f>IF($B16="○",ツール入力シート!$E$80,"")</f>
        <v/>
      </c>
      <c r="K16" s="35" t="str">
        <f t="shared" si="0"/>
        <v/>
      </c>
    </row>
    <row r="17" spans="2:11" x14ac:dyDescent="0.45">
      <c r="B17" s="415" t="s">
        <v>1215</v>
      </c>
      <c r="C17" s="416"/>
      <c r="D17" s="416"/>
      <c r="E17" s="416"/>
      <c r="F17" s="416"/>
      <c r="G17" s="416"/>
      <c r="H17" s="417"/>
      <c r="I17" s="34">
        <f>SUM(I8:I16)</f>
        <v>0</v>
      </c>
      <c r="J17" s="34" t="str">
        <f>IF($I17&gt;0,ツール入力シート!$E$80,"")</f>
        <v/>
      </c>
      <c r="K17" s="35" t="e">
        <f t="shared" si="0"/>
        <v>#VALUE!</v>
      </c>
    </row>
    <row r="18" spans="2:11" x14ac:dyDescent="0.45">
      <c r="B18" s="31" t="s">
        <v>495</v>
      </c>
      <c r="C18" s="146"/>
      <c r="D18" s="146"/>
      <c r="E18" s="146"/>
      <c r="F18" s="146"/>
      <c r="G18" s="146"/>
      <c r="H18" s="146"/>
      <c r="I18" s="84"/>
      <c r="J18" s="84"/>
      <c r="K18" s="84"/>
    </row>
    <row r="19" spans="2:11" x14ac:dyDescent="0.45">
      <c r="B19" s="31" t="s">
        <v>497</v>
      </c>
      <c r="C19" s="146"/>
      <c r="D19" s="146"/>
      <c r="E19" s="146"/>
      <c r="F19" s="146"/>
      <c r="G19" s="146"/>
      <c r="H19" s="146"/>
      <c r="I19" s="84"/>
      <c r="J19" s="84"/>
      <c r="K19" s="84"/>
    </row>
    <row r="20" spans="2:11" x14ac:dyDescent="0.45">
      <c r="B20" s="4" t="s">
        <v>496</v>
      </c>
    </row>
    <row r="22" spans="2:11" x14ac:dyDescent="0.45">
      <c r="B22" s="4" t="s">
        <v>476</v>
      </c>
      <c r="J22" s="84"/>
    </row>
    <row r="24" spans="2:11" x14ac:dyDescent="0.45">
      <c r="B24" s="3"/>
      <c r="F24" s="3"/>
    </row>
  </sheetData>
  <mergeCells count="7">
    <mergeCell ref="B17:H17"/>
    <mergeCell ref="H6:H7"/>
    <mergeCell ref="G6:G7"/>
    <mergeCell ref="B6:B7"/>
    <mergeCell ref="C6:C7"/>
    <mergeCell ref="E6:E7"/>
    <mergeCell ref="F6:F7"/>
  </mergeCells>
  <phoneticPr fontId="2"/>
  <hyperlinks>
    <hyperlink ref="C8" location="水処理対策No.1!A1" display="対策No.1" xr:uid="{7F6191EF-C68A-4DA5-9089-0C620D99F6E0}"/>
    <hyperlink ref="C9" location="水処理対策No.2!A1" display="対策No.2" xr:uid="{3A2A89BE-4653-47DC-9FFB-825DD4816C35}"/>
    <hyperlink ref="C10" location="水処理対策No.3!A1" display="対策No.3" xr:uid="{8DCE6B79-A1B0-40FD-B868-A792C7DCE8F7}"/>
    <hyperlink ref="C12" location="水処理対策No.5!A1" display="対策No.5" xr:uid="{1B3D0824-6896-4D43-BBF8-1E51E513089B}"/>
    <hyperlink ref="C13" location="水処理対策No.6!A1" display="対策No.6" xr:uid="{1585CB60-F6A5-437B-A556-419DCBC96A70}"/>
    <hyperlink ref="C14" location="水処理対策No.7!A1" display="対策No.7" xr:uid="{CEC04615-8AE3-440F-97B8-AC102F3041BA}"/>
    <hyperlink ref="C15" location="水処理対策No.8!A1" display="対策No.8" xr:uid="{950CEEE7-C81B-4FEE-B838-85D4AB400BB8}"/>
    <hyperlink ref="C16" location="水処理対策No.9!A1" display="対策No.9" xr:uid="{C77119DF-4817-4A94-ADD6-66349D66AB09}"/>
    <hyperlink ref="C11" location="水処理対策No.4!A1" display="対策No.5" xr:uid="{AD4EE11F-56A9-47FC-A3F9-7BCB4E2AEF03}"/>
  </hyperlinks>
  <pageMargins left="0.7" right="0.7" top="0.75" bottom="0.75" header="0.3" footer="0.3"/>
  <pageSetup paperSize="8" scale="4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7A394-C276-4DB3-922F-5FE889D5FF36}">
  <sheetPr>
    <tabColor theme="5" tint="-0.499984740745262"/>
    <pageSetUpPr fitToPage="1"/>
  </sheetPr>
  <dimension ref="B2:K20"/>
  <sheetViews>
    <sheetView showGridLines="0" zoomScale="70" zoomScaleNormal="70" workbookViewId="0"/>
  </sheetViews>
  <sheetFormatPr defaultRowHeight="18" x14ac:dyDescent="0.45"/>
  <cols>
    <col min="2" max="2" width="19.19921875" customWidth="1"/>
    <col min="3" max="3" width="10.3984375" customWidth="1"/>
    <col min="4" max="4" width="40.09765625" customWidth="1"/>
    <col min="5" max="5" width="84.5" customWidth="1"/>
    <col min="6" max="6" width="99.19921875" bestFit="1" customWidth="1"/>
    <col min="7" max="7" width="42.09765625" bestFit="1" customWidth="1"/>
    <col min="8" max="8" width="25.5" bestFit="1" customWidth="1"/>
    <col min="9" max="9" width="19.19921875" bestFit="1" customWidth="1"/>
    <col min="10" max="10" width="25.5" bestFit="1" customWidth="1"/>
    <col min="11" max="11" width="20.8984375" customWidth="1"/>
  </cols>
  <sheetData>
    <row r="2" spans="2:11" x14ac:dyDescent="0.45">
      <c r="B2" s="3" t="s">
        <v>183</v>
      </c>
    </row>
    <row r="3" spans="2:11" x14ac:dyDescent="0.45">
      <c r="B3" s="38" t="s">
        <v>104</v>
      </c>
      <c r="C3" s="38"/>
      <c r="D3" s="38"/>
      <c r="E3" s="38"/>
      <c r="F3" s="38"/>
      <c r="G3" s="38"/>
      <c r="H3" s="38"/>
      <c r="I3" s="37"/>
    </row>
    <row r="4" spans="2:11" x14ac:dyDescent="0.45">
      <c r="B4" s="38" t="s">
        <v>140</v>
      </c>
      <c r="C4" s="37"/>
      <c r="D4" s="37"/>
      <c r="E4" s="37"/>
      <c r="F4" s="37"/>
      <c r="G4" s="37"/>
      <c r="H4" s="37"/>
      <c r="I4" s="37"/>
    </row>
    <row r="6" spans="2:11" ht="54" x14ac:dyDescent="0.45">
      <c r="B6" s="418" t="s">
        <v>103</v>
      </c>
      <c r="C6" s="421" t="s">
        <v>105</v>
      </c>
      <c r="D6" s="16" t="s">
        <v>82</v>
      </c>
      <c r="E6" s="420" t="s">
        <v>98</v>
      </c>
      <c r="F6" s="420" t="s">
        <v>1151</v>
      </c>
      <c r="G6" s="420" t="s">
        <v>482</v>
      </c>
      <c r="H6" s="418" t="s">
        <v>499</v>
      </c>
      <c r="I6" s="17" t="s">
        <v>100</v>
      </c>
      <c r="J6" s="17" t="s">
        <v>1212</v>
      </c>
      <c r="K6" s="17" t="s">
        <v>1213</v>
      </c>
    </row>
    <row r="7" spans="2:11" x14ac:dyDescent="0.45">
      <c r="B7" s="419"/>
      <c r="C7" s="422"/>
      <c r="D7" s="16" t="s">
        <v>149</v>
      </c>
      <c r="E7" s="419"/>
      <c r="F7" s="419"/>
      <c r="G7" s="419"/>
      <c r="H7" s="419"/>
      <c r="I7" s="16" t="s">
        <v>21</v>
      </c>
      <c r="J7" s="16" t="s">
        <v>21</v>
      </c>
      <c r="K7" s="16" t="s">
        <v>89</v>
      </c>
    </row>
    <row r="8" spans="2:11" x14ac:dyDescent="0.45">
      <c r="B8" s="16"/>
      <c r="C8" s="36" t="s">
        <v>101</v>
      </c>
      <c r="D8" s="16" t="s">
        <v>150</v>
      </c>
      <c r="E8" s="10" t="s">
        <v>148</v>
      </c>
      <c r="F8" s="10" t="s">
        <v>1165</v>
      </c>
      <c r="G8" s="10" t="s">
        <v>500</v>
      </c>
      <c r="H8" s="10" t="s">
        <v>504</v>
      </c>
      <c r="I8" s="34" t="str">
        <f>IF($B8="○",汚泥処理対策No.1!D16,"")</f>
        <v/>
      </c>
      <c r="J8" s="34" t="str">
        <f>IF($B8="○",ツール入力シート!$E$80,"")</f>
        <v/>
      </c>
      <c r="K8" s="35" t="str">
        <f>IF(I8&lt;&gt;"",I8/J8*100,"")</f>
        <v/>
      </c>
    </row>
    <row r="9" spans="2:11" x14ac:dyDescent="0.45">
      <c r="B9" s="16"/>
      <c r="C9" s="36" t="s">
        <v>106</v>
      </c>
      <c r="D9" s="16" t="s">
        <v>164</v>
      </c>
      <c r="E9" s="1" t="s">
        <v>181</v>
      </c>
      <c r="F9" s="1" t="s">
        <v>1166</v>
      </c>
      <c r="G9" s="1" t="s">
        <v>501</v>
      </c>
      <c r="H9" s="10" t="s">
        <v>505</v>
      </c>
      <c r="I9" s="34" t="str">
        <f>IF($B9="○",汚泥処理対策No.2!D15,"")</f>
        <v/>
      </c>
      <c r="J9" s="34" t="str">
        <f>IF($B9="○",ツール入力シート!$E$80,"")</f>
        <v/>
      </c>
      <c r="K9" s="35" t="str">
        <f t="shared" ref="K9:K17" si="0">IF(I9&lt;&gt;"",I9/J9*100,"")</f>
        <v/>
      </c>
    </row>
    <row r="10" spans="2:11" x14ac:dyDescent="0.45">
      <c r="B10" s="16"/>
      <c r="C10" s="36" t="s">
        <v>139</v>
      </c>
      <c r="D10" s="16" t="s">
        <v>196</v>
      </c>
      <c r="E10" s="1" t="s">
        <v>195</v>
      </c>
      <c r="F10" s="10" t="s">
        <v>1167</v>
      </c>
      <c r="G10" s="1" t="s">
        <v>502</v>
      </c>
      <c r="H10" s="10" t="s">
        <v>503</v>
      </c>
      <c r="I10" s="34" t="str">
        <f>IF($B10="○",汚泥処理対策No.3!D16,"")</f>
        <v/>
      </c>
      <c r="J10" s="34" t="str">
        <f>IF($B10="○",ツール入力シート!$E$80,"")</f>
        <v/>
      </c>
      <c r="K10" s="35" t="str">
        <f t="shared" si="0"/>
        <v/>
      </c>
    </row>
    <row r="11" spans="2:11" x14ac:dyDescent="0.45">
      <c r="B11" s="16"/>
      <c r="C11" s="36" t="s">
        <v>512</v>
      </c>
      <c r="D11" s="16" t="s">
        <v>749</v>
      </c>
      <c r="E11" s="1" t="s">
        <v>748</v>
      </c>
      <c r="F11" s="10" t="s">
        <v>1168</v>
      </c>
      <c r="G11" s="1" t="s">
        <v>750</v>
      </c>
      <c r="H11" s="10" t="s">
        <v>754</v>
      </c>
      <c r="I11" s="34" t="str">
        <f>IF($B11="○",汚泥処理対策No.4!D11,"")</f>
        <v/>
      </c>
      <c r="J11" s="34" t="str">
        <f>IF($B11="○",ツール入力シート!$E$80,"")</f>
        <v/>
      </c>
      <c r="K11" s="35" t="str">
        <f t="shared" si="0"/>
        <v/>
      </c>
    </row>
    <row r="12" spans="2:11" ht="36" x14ac:dyDescent="0.45">
      <c r="B12" s="16"/>
      <c r="C12" s="36" t="s">
        <v>198</v>
      </c>
      <c r="D12" s="16" t="s">
        <v>511</v>
      </c>
      <c r="E12" s="1" t="s">
        <v>1332</v>
      </c>
      <c r="F12" s="2" t="s">
        <v>1156</v>
      </c>
      <c r="G12" s="1" t="s">
        <v>510</v>
      </c>
      <c r="H12" s="1" t="s">
        <v>494</v>
      </c>
      <c r="I12" s="34" t="str">
        <f>IF($B12="○",汚泥処理対策No.5!D149,"")</f>
        <v/>
      </c>
      <c r="J12" s="34" t="str">
        <f>IF($B12="○",ツール入力シート!$E$80,"")</f>
        <v/>
      </c>
      <c r="K12" s="35" t="str">
        <f t="shared" si="0"/>
        <v/>
      </c>
    </row>
    <row r="13" spans="2:11" ht="108" x14ac:dyDescent="0.45">
      <c r="B13" s="16"/>
      <c r="C13" s="36" t="s">
        <v>204</v>
      </c>
      <c r="D13" s="16" t="s">
        <v>511</v>
      </c>
      <c r="E13" s="1" t="s">
        <v>758</v>
      </c>
      <c r="F13" s="2" t="s">
        <v>1157</v>
      </c>
      <c r="G13" s="1" t="s">
        <v>510</v>
      </c>
      <c r="H13" s="1" t="s">
        <v>494</v>
      </c>
      <c r="I13" s="34" t="str">
        <f>IF($B13="○",汚泥処理対策No.6!D173,"")</f>
        <v/>
      </c>
      <c r="J13" s="34" t="str">
        <f>IF($B13="○",ツール入力シート!$E$80,"")</f>
        <v/>
      </c>
      <c r="K13" s="35" t="str">
        <f t="shared" si="0"/>
        <v/>
      </c>
    </row>
    <row r="14" spans="2:11" ht="72" x14ac:dyDescent="0.45">
      <c r="B14" s="16"/>
      <c r="C14" s="36" t="s">
        <v>208</v>
      </c>
      <c r="D14" s="16" t="s">
        <v>511</v>
      </c>
      <c r="E14" s="1" t="s">
        <v>759</v>
      </c>
      <c r="F14" s="2" t="s">
        <v>1158</v>
      </c>
      <c r="G14" s="1" t="s">
        <v>877</v>
      </c>
      <c r="H14" s="1" t="s">
        <v>494</v>
      </c>
      <c r="I14" s="34" t="str">
        <f>IF($B14="○",汚泥処理対策No.7!E130,"")</f>
        <v/>
      </c>
      <c r="J14" s="34" t="str">
        <f>IF($B14="○",ツール入力シート!$E$80,"")</f>
        <v/>
      </c>
      <c r="K14" s="35" t="str">
        <f t="shared" si="0"/>
        <v/>
      </c>
    </row>
    <row r="15" spans="2:11" ht="54" x14ac:dyDescent="0.45">
      <c r="B15" s="16"/>
      <c r="C15" s="36" t="s">
        <v>217</v>
      </c>
      <c r="D15" s="16" t="s">
        <v>878</v>
      </c>
      <c r="E15" s="1" t="s">
        <v>879</v>
      </c>
      <c r="F15" s="2" t="s">
        <v>1169</v>
      </c>
      <c r="G15" s="1" t="s">
        <v>1135</v>
      </c>
      <c r="H15" s="1" t="s">
        <v>494</v>
      </c>
      <c r="I15" s="34" t="str">
        <f>IF($B15="○",汚泥処理対策No.8!D15,"")</f>
        <v/>
      </c>
      <c r="J15" s="34" t="str">
        <f>IF($B15="○",ツール入力シート!$E$80,"")</f>
        <v/>
      </c>
      <c r="K15" s="35" t="str">
        <f t="shared" si="0"/>
        <v/>
      </c>
    </row>
    <row r="16" spans="2:11" ht="36" x14ac:dyDescent="0.45">
      <c r="B16" s="16"/>
      <c r="C16" s="36" t="s">
        <v>227</v>
      </c>
      <c r="D16" s="16" t="s">
        <v>1137</v>
      </c>
      <c r="E16" s="1" t="s">
        <v>1136</v>
      </c>
      <c r="F16" s="2" t="s">
        <v>1159</v>
      </c>
      <c r="G16" s="1" t="s">
        <v>1143</v>
      </c>
      <c r="H16" s="1" t="s">
        <v>494</v>
      </c>
      <c r="I16" s="34" t="str">
        <f>IF($B16="○",汚泥処理対策No.9!D13,"")</f>
        <v/>
      </c>
      <c r="J16" s="34" t="str">
        <f>IF($B16="○",ツール入力シート!$E$80,"")</f>
        <v/>
      </c>
      <c r="K16" s="35" t="str">
        <f t="shared" si="0"/>
        <v/>
      </c>
    </row>
    <row r="17" spans="2:11" x14ac:dyDescent="0.45">
      <c r="B17" s="423" t="s">
        <v>1214</v>
      </c>
      <c r="C17" s="423"/>
      <c r="D17" s="423"/>
      <c r="E17" s="423"/>
      <c r="F17" s="423"/>
      <c r="G17" s="423"/>
      <c r="H17" s="423"/>
      <c r="I17" s="34">
        <f>SUM(I8:I16)</f>
        <v>0</v>
      </c>
      <c r="J17" s="34" t="str">
        <f>IF($I17&gt;0,ツール入力シート!$E$80,"")</f>
        <v/>
      </c>
      <c r="K17" s="35" t="e">
        <f t="shared" si="0"/>
        <v>#VALUE!</v>
      </c>
    </row>
    <row r="18" spans="2:11" x14ac:dyDescent="0.45">
      <c r="B18" s="31" t="s">
        <v>495</v>
      </c>
    </row>
    <row r="19" spans="2:11" x14ac:dyDescent="0.45">
      <c r="B19" s="31" t="s">
        <v>497</v>
      </c>
    </row>
    <row r="20" spans="2:11" x14ac:dyDescent="0.45">
      <c r="B20" s="4" t="s">
        <v>496</v>
      </c>
    </row>
  </sheetData>
  <mergeCells count="7">
    <mergeCell ref="B17:H17"/>
    <mergeCell ref="G6:G7"/>
    <mergeCell ref="H6:H7"/>
    <mergeCell ref="B6:B7"/>
    <mergeCell ref="C6:C7"/>
    <mergeCell ref="E6:E7"/>
    <mergeCell ref="F6:F7"/>
  </mergeCells>
  <phoneticPr fontId="2"/>
  <hyperlinks>
    <hyperlink ref="C8" location="汚泥処理対策No.1!A1" display="対策No.1" xr:uid="{A230BBD1-3D3F-4994-A483-90CD4EF1A39B}"/>
    <hyperlink ref="C9" location="汚泥処理対策No.2!A1" display="対策No.2" xr:uid="{298053A3-F16D-4C40-8AD0-D4F978F3DF8F}"/>
    <hyperlink ref="C10" location="汚泥処理対策No.3!A1" display="対策No.3" xr:uid="{DF02442B-D962-445D-B2EB-29CF0B1BAAD2}"/>
    <hyperlink ref="C12" location="汚泥処理対策No.5!A1" display="対策No.5" xr:uid="{1A705982-D063-4760-BF9D-257ACA6E73AA}"/>
    <hyperlink ref="C11" location="汚泥処理対策No.4!A1" display="対策No.4" xr:uid="{1D55C1AE-9219-4D1B-8D1A-1D2D115653DA}"/>
    <hyperlink ref="C13" location="汚泥処理対策No.6!A1" display="対策No.6" xr:uid="{3290EFB4-F8C4-4AE6-A5DE-9642CA649920}"/>
    <hyperlink ref="C14" location="汚泥処理対策No.7!A1" display="対策No.7" xr:uid="{C4F17D92-1FC3-40D2-921D-83E9BF826E91}"/>
    <hyperlink ref="C15" location="汚泥処理対策No.8!A1" display="対策No.8" xr:uid="{681B1899-D46D-4F8C-B58E-3CB5B00FC177}"/>
    <hyperlink ref="C16" location="汚泥処理対策No.9!A1" display="対策No.9" xr:uid="{8EBEE59E-0FF2-42F4-B9B4-C410723478DD}"/>
  </hyperlinks>
  <pageMargins left="0.7" right="0.7" top="0.75" bottom="0.75" header="0.3" footer="0.3"/>
  <pageSetup paperSize="8" scale="4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61DC0-1F63-4A0C-85E1-206CD5C1A14E}">
  <sheetPr>
    <tabColor rgb="FFFFC000"/>
    <pageSetUpPr fitToPage="1"/>
  </sheetPr>
  <dimension ref="B2:F54"/>
  <sheetViews>
    <sheetView showGridLines="0" zoomScale="85" zoomScaleNormal="85" workbookViewId="0"/>
  </sheetViews>
  <sheetFormatPr defaultRowHeight="18" x14ac:dyDescent="0.45"/>
  <cols>
    <col min="2" max="2" width="19.09765625" customWidth="1"/>
    <col min="3" max="3" width="31.3984375" customWidth="1"/>
    <col min="4" max="4" width="17.19921875" bestFit="1" customWidth="1"/>
    <col min="5" max="5" width="25.5" bestFit="1" customWidth="1"/>
    <col min="6" max="6" width="22.19921875" customWidth="1"/>
    <col min="7" max="7" width="20.8984375" customWidth="1"/>
  </cols>
  <sheetData>
    <row r="2" spans="2:6" x14ac:dyDescent="0.45">
      <c r="B2" s="3" t="s">
        <v>1201</v>
      </c>
    </row>
    <row r="3" spans="2:6" x14ac:dyDescent="0.45">
      <c r="B3" s="38" t="s">
        <v>1202</v>
      </c>
      <c r="C3" s="38"/>
      <c r="D3" s="38"/>
      <c r="E3" s="38"/>
      <c r="F3" s="37"/>
    </row>
    <row r="4" spans="2:6" x14ac:dyDescent="0.45">
      <c r="B4" s="38" t="s">
        <v>1226</v>
      </c>
      <c r="C4" s="38"/>
      <c r="D4" s="38"/>
      <c r="E4" s="38"/>
      <c r="F4" s="37"/>
    </row>
    <row r="6" spans="2:6" ht="36" x14ac:dyDescent="0.45">
      <c r="B6" s="421" t="s">
        <v>105</v>
      </c>
      <c r="C6" s="420" t="s">
        <v>98</v>
      </c>
      <c r="D6" s="17" t="s">
        <v>100</v>
      </c>
      <c r="E6" s="17" t="s">
        <v>1212</v>
      </c>
      <c r="F6" s="17" t="s">
        <v>1213</v>
      </c>
    </row>
    <row r="7" spans="2:6" x14ac:dyDescent="0.45">
      <c r="B7" s="424"/>
      <c r="C7" s="419"/>
      <c r="D7" s="16" t="s">
        <v>21</v>
      </c>
      <c r="E7" s="16" t="s">
        <v>21</v>
      </c>
      <c r="F7" s="16" t="s">
        <v>89</v>
      </c>
    </row>
    <row r="8" spans="2:6" x14ac:dyDescent="0.45">
      <c r="B8" s="16" t="s">
        <v>101</v>
      </c>
      <c r="C8" s="10"/>
      <c r="D8" s="39"/>
      <c r="E8" s="34" t="str">
        <f>IF(D8&lt;&gt;"",ツール入力シート!$E$80,"")</f>
        <v/>
      </c>
      <c r="F8" s="35" t="str">
        <f>IF(D8&lt;&gt;"",D8/E8*100,"")</f>
        <v/>
      </c>
    </row>
    <row r="9" spans="2:6" x14ac:dyDescent="0.45">
      <c r="B9" s="16" t="s">
        <v>106</v>
      </c>
      <c r="C9" s="10"/>
      <c r="D9" s="39"/>
      <c r="E9" s="34" t="str">
        <f>IF(D9&lt;&gt;"",ツール入力シート!$E$80,"")</f>
        <v/>
      </c>
      <c r="F9" s="35" t="str">
        <f t="shared" ref="F9:F28" si="0">IF(D9&lt;&gt;"",D9/E9*100,"")</f>
        <v/>
      </c>
    </row>
    <row r="10" spans="2:6" x14ac:dyDescent="0.45">
      <c r="B10" s="16" t="s">
        <v>139</v>
      </c>
      <c r="C10" s="10"/>
      <c r="D10" s="39"/>
      <c r="E10" s="34" t="str">
        <f>IF(D10&lt;&gt;"",ツール入力シート!$E$80,"")</f>
        <v/>
      </c>
      <c r="F10" s="35" t="str">
        <f t="shared" si="0"/>
        <v/>
      </c>
    </row>
    <row r="11" spans="2:6" x14ac:dyDescent="0.45">
      <c r="B11" s="16" t="s">
        <v>512</v>
      </c>
      <c r="C11" s="10"/>
      <c r="D11" s="39"/>
      <c r="E11" s="34" t="str">
        <f>IF(D11&lt;&gt;"",ツール入力シート!$E$80,"")</f>
        <v/>
      </c>
      <c r="F11" s="35" t="str">
        <f t="shared" si="0"/>
        <v/>
      </c>
    </row>
    <row r="12" spans="2:6" x14ac:dyDescent="0.45">
      <c r="B12" s="16" t="s">
        <v>198</v>
      </c>
      <c r="C12" s="10"/>
      <c r="D12" s="39"/>
      <c r="E12" s="34" t="str">
        <f>IF(D12&lt;&gt;"",ツール入力シート!$E$80,"")</f>
        <v/>
      </c>
      <c r="F12" s="35" t="str">
        <f t="shared" si="0"/>
        <v/>
      </c>
    </row>
    <row r="13" spans="2:6" x14ac:dyDescent="0.45">
      <c r="B13" s="16" t="s">
        <v>204</v>
      </c>
      <c r="C13" s="10"/>
      <c r="D13" s="39"/>
      <c r="E13" s="34" t="str">
        <f>IF(D13&lt;&gt;"",ツール入力シート!$E$80,"")</f>
        <v/>
      </c>
      <c r="F13" s="35" t="str">
        <f t="shared" si="0"/>
        <v/>
      </c>
    </row>
    <row r="14" spans="2:6" x14ac:dyDescent="0.45">
      <c r="B14" s="16" t="s">
        <v>208</v>
      </c>
      <c r="C14" s="10"/>
      <c r="D14" s="39"/>
      <c r="E14" s="34" t="str">
        <f>IF(D14&lt;&gt;"",ツール入力シート!$E$80,"")</f>
        <v/>
      </c>
      <c r="F14" s="35" t="str">
        <f t="shared" si="0"/>
        <v/>
      </c>
    </row>
    <row r="15" spans="2:6" x14ac:dyDescent="0.45">
      <c r="B15" s="16" t="s">
        <v>217</v>
      </c>
      <c r="C15" s="10"/>
      <c r="D15" s="39"/>
      <c r="E15" s="34" t="str">
        <f>IF(D15&lt;&gt;"",ツール入力シート!$E$80,"")</f>
        <v/>
      </c>
      <c r="F15" s="35" t="str">
        <f t="shared" si="0"/>
        <v/>
      </c>
    </row>
    <row r="16" spans="2:6" x14ac:dyDescent="0.45">
      <c r="B16" s="16" t="s">
        <v>227</v>
      </c>
      <c r="C16" s="10"/>
      <c r="D16" s="39"/>
      <c r="E16" s="34" t="str">
        <f>IF(D16&lt;&gt;"",ツール入力シート!$E$80,"")</f>
        <v/>
      </c>
      <c r="F16" s="35" t="str">
        <f t="shared" si="0"/>
        <v/>
      </c>
    </row>
    <row r="17" spans="2:6" x14ac:dyDescent="0.45">
      <c r="B17" s="16" t="s">
        <v>1203</v>
      </c>
      <c r="C17" s="10"/>
      <c r="D17" s="39"/>
      <c r="E17" s="34" t="str">
        <f>IF(D17&lt;&gt;"",ツール入力シート!$E$80,"")</f>
        <v/>
      </c>
      <c r="F17" s="35" t="str">
        <f t="shared" si="0"/>
        <v/>
      </c>
    </row>
    <row r="18" spans="2:6" x14ac:dyDescent="0.45">
      <c r="B18" s="16" t="s">
        <v>1253</v>
      </c>
      <c r="C18" s="10"/>
      <c r="D18" s="39"/>
      <c r="E18" s="34" t="str">
        <f>IF(D18&lt;&gt;"",ツール入力シート!$E$80,"")</f>
        <v/>
      </c>
      <c r="F18" s="35" t="str">
        <f t="shared" si="0"/>
        <v/>
      </c>
    </row>
    <row r="19" spans="2:6" x14ac:dyDescent="0.45">
      <c r="B19" s="16" t="s">
        <v>1254</v>
      </c>
      <c r="C19" s="10"/>
      <c r="D19" s="39"/>
      <c r="E19" s="34" t="str">
        <f>IF(D19&lt;&gt;"",ツール入力シート!$E$80,"")</f>
        <v/>
      </c>
      <c r="F19" s="35" t="str">
        <f t="shared" si="0"/>
        <v/>
      </c>
    </row>
    <row r="20" spans="2:6" x14ac:dyDescent="0.45">
      <c r="B20" s="16" t="s">
        <v>1255</v>
      </c>
      <c r="C20" s="10"/>
      <c r="D20" s="39"/>
      <c r="E20" s="34" t="str">
        <f>IF(D20&lt;&gt;"",ツール入力シート!$E$80,"")</f>
        <v/>
      </c>
      <c r="F20" s="35" t="str">
        <f t="shared" si="0"/>
        <v/>
      </c>
    </row>
    <row r="21" spans="2:6" x14ac:dyDescent="0.45">
      <c r="B21" s="16" t="s">
        <v>1256</v>
      </c>
      <c r="C21" s="10"/>
      <c r="D21" s="39"/>
      <c r="E21" s="34" t="str">
        <f>IF(D21&lt;&gt;"",ツール入力シート!$E$80,"")</f>
        <v/>
      </c>
      <c r="F21" s="35" t="str">
        <f t="shared" si="0"/>
        <v/>
      </c>
    </row>
    <row r="22" spans="2:6" x14ac:dyDescent="0.45">
      <c r="B22" s="16" t="s">
        <v>1257</v>
      </c>
      <c r="C22" s="10"/>
      <c r="D22" s="39"/>
      <c r="E22" s="34" t="str">
        <f>IF(D22&lt;&gt;"",ツール入力シート!$E$80,"")</f>
        <v/>
      </c>
      <c r="F22" s="35" t="str">
        <f t="shared" si="0"/>
        <v/>
      </c>
    </row>
    <row r="23" spans="2:6" x14ac:dyDescent="0.45">
      <c r="B23" s="16" t="s">
        <v>1258</v>
      </c>
      <c r="C23" s="10"/>
      <c r="D23" s="39"/>
      <c r="E23" s="34" t="str">
        <f>IF(D23&lt;&gt;"",ツール入力シート!$E$80,"")</f>
        <v/>
      </c>
      <c r="F23" s="35" t="str">
        <f t="shared" si="0"/>
        <v/>
      </c>
    </row>
    <row r="24" spans="2:6" x14ac:dyDescent="0.45">
      <c r="B24" s="16" t="s">
        <v>1259</v>
      </c>
      <c r="C24" s="10"/>
      <c r="D24" s="39"/>
      <c r="E24" s="34" t="str">
        <f>IF(D24&lt;&gt;"",ツール入力シート!$E$80,"")</f>
        <v/>
      </c>
      <c r="F24" s="35" t="str">
        <f t="shared" si="0"/>
        <v/>
      </c>
    </row>
    <row r="25" spans="2:6" x14ac:dyDescent="0.45">
      <c r="B25" s="16" t="s">
        <v>1260</v>
      </c>
      <c r="C25" s="10"/>
      <c r="D25" s="39"/>
      <c r="E25" s="34" t="str">
        <f>IF(D25&lt;&gt;"",ツール入力シート!$E$80,"")</f>
        <v/>
      </c>
      <c r="F25" s="35" t="str">
        <f t="shared" si="0"/>
        <v/>
      </c>
    </row>
    <row r="26" spans="2:6" x14ac:dyDescent="0.45">
      <c r="B26" s="16" t="s">
        <v>1261</v>
      </c>
      <c r="C26" s="10"/>
      <c r="D26" s="39"/>
      <c r="E26" s="34" t="str">
        <f>IF(D26&lt;&gt;"",ツール入力シート!$E$80,"")</f>
        <v/>
      </c>
      <c r="F26" s="35" t="str">
        <f t="shared" si="0"/>
        <v/>
      </c>
    </row>
    <row r="27" spans="2:6" x14ac:dyDescent="0.45">
      <c r="B27" s="16" t="s">
        <v>1262</v>
      </c>
      <c r="C27" s="10"/>
      <c r="D27" s="39"/>
      <c r="E27" s="34" t="str">
        <f>IF(D27&lt;&gt;"",ツール入力シート!$E$80,"")</f>
        <v/>
      </c>
      <c r="F27" s="35" t="str">
        <f t="shared" si="0"/>
        <v/>
      </c>
    </row>
    <row r="28" spans="2:6" x14ac:dyDescent="0.45">
      <c r="B28" s="423" t="s">
        <v>1214</v>
      </c>
      <c r="C28" s="423"/>
      <c r="D28" s="322">
        <f>SUM(D8:D27)</f>
        <v>0</v>
      </c>
      <c r="E28" s="34" t="str">
        <f>IF(D28&gt;0,ツール入力シート!$E$80,"")</f>
        <v/>
      </c>
      <c r="F28" s="35" t="e">
        <f t="shared" si="0"/>
        <v>#VALUE!</v>
      </c>
    </row>
    <row r="30" spans="2:6" x14ac:dyDescent="0.45">
      <c r="B30" s="4" t="s">
        <v>476</v>
      </c>
    </row>
    <row r="32" spans="2:6" ht="22.2" x14ac:dyDescent="0.45">
      <c r="B32" s="28" t="s">
        <v>1290</v>
      </c>
    </row>
    <row r="33" spans="2:2" x14ac:dyDescent="0.45">
      <c r="B33" s="342"/>
    </row>
    <row r="34" spans="2:2" ht="28.8" x14ac:dyDescent="0.45">
      <c r="B34" s="350" t="s">
        <v>1294</v>
      </c>
    </row>
    <row r="35" spans="2:2" x14ac:dyDescent="0.45">
      <c r="B35" s="344" t="s">
        <v>1283</v>
      </c>
    </row>
    <row r="36" spans="2:2" x14ac:dyDescent="0.45">
      <c r="B36" s="100"/>
    </row>
    <row r="37" spans="2:2" x14ac:dyDescent="0.45">
      <c r="B37" s="344" t="s">
        <v>1284</v>
      </c>
    </row>
    <row r="38" spans="2:2" x14ac:dyDescent="0.45">
      <c r="B38" s="349" t="s">
        <v>1295</v>
      </c>
    </row>
    <row r="39" spans="2:2" x14ac:dyDescent="0.45">
      <c r="B39" s="344"/>
    </row>
    <row r="40" spans="2:2" x14ac:dyDescent="0.45">
      <c r="B40" s="344" t="s">
        <v>1285</v>
      </c>
    </row>
    <row r="41" spans="2:2" x14ac:dyDescent="0.45">
      <c r="B41" s="343" t="s">
        <v>1291</v>
      </c>
    </row>
    <row r="42" spans="2:2" x14ac:dyDescent="0.45">
      <c r="B42" s="345"/>
    </row>
    <row r="43" spans="2:2" x14ac:dyDescent="0.45">
      <c r="B43" s="344" t="s">
        <v>1292</v>
      </c>
    </row>
    <row r="44" spans="2:2" x14ac:dyDescent="0.45">
      <c r="B44" s="343" t="s">
        <v>1296</v>
      </c>
    </row>
    <row r="45" spans="2:2" x14ac:dyDescent="0.45">
      <c r="B45" s="346"/>
    </row>
    <row r="46" spans="2:2" x14ac:dyDescent="0.45">
      <c r="B46" s="344" t="s">
        <v>1286</v>
      </c>
    </row>
    <row r="47" spans="2:2" x14ac:dyDescent="0.45">
      <c r="B47" s="347" t="s">
        <v>1287</v>
      </c>
    </row>
    <row r="48" spans="2:2" x14ac:dyDescent="0.45">
      <c r="B48" s="343" t="s">
        <v>1288</v>
      </c>
    </row>
    <row r="49" spans="2:2" x14ac:dyDescent="0.45">
      <c r="B49" s="348"/>
    </row>
    <row r="50" spans="2:2" x14ac:dyDescent="0.45">
      <c r="B50" s="344" t="s">
        <v>1293</v>
      </c>
    </row>
    <row r="51" spans="2:2" x14ac:dyDescent="0.45">
      <c r="B51" s="344" t="s">
        <v>1289</v>
      </c>
    </row>
    <row r="52" spans="2:2" x14ac:dyDescent="0.45">
      <c r="B52" s="343" t="s">
        <v>1288</v>
      </c>
    </row>
    <row r="53" spans="2:2" x14ac:dyDescent="0.45">
      <c r="B53" s="346"/>
    </row>
    <row r="54" spans="2:2" x14ac:dyDescent="0.45">
      <c r="B54" s="349"/>
    </row>
  </sheetData>
  <mergeCells count="3">
    <mergeCell ref="B6:B7"/>
    <mergeCell ref="C6:C7"/>
    <mergeCell ref="B28:C28"/>
  </mergeCells>
  <phoneticPr fontId="2"/>
  <hyperlinks>
    <hyperlink ref="B34" r:id="rId1" display="https://sewage-tech.net/" xr:uid="{E05C5885-3BBA-4921-AE86-1F94254AC0AF}"/>
    <hyperlink ref="B41" r:id="rId2" xr:uid="{E35B6451-3886-4AED-AF23-02BDADB621F6}"/>
    <hyperlink ref="B44" r:id="rId3" xr:uid="{31F60A35-4F4D-4E11-A117-1586EC69DB04}"/>
    <hyperlink ref="B48" r:id="rId4" xr:uid="{E49631F5-6E40-4393-82E1-B361448C5D25}"/>
    <hyperlink ref="B52" r:id="rId5" xr:uid="{180D7859-1585-47AF-8FD7-EFD4F9D62C41}"/>
  </hyperlinks>
  <pageMargins left="0.7" right="0.7" top="0.75" bottom="0.75" header="0.3" footer="0.3"/>
  <pageSetup paperSize="8" scale="72" orientation="landscape"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DC5E8-562D-44D2-AD5F-537C7644783F}">
  <sheetPr>
    <tabColor rgb="FFFF0000"/>
    <pageSetUpPr fitToPage="1"/>
  </sheetPr>
  <dimension ref="B1:G83"/>
  <sheetViews>
    <sheetView showGridLines="0" view="pageBreakPreview" zoomScale="60" zoomScaleNormal="70" workbookViewId="0"/>
  </sheetViews>
  <sheetFormatPr defaultRowHeight="18" x14ac:dyDescent="0.45"/>
  <cols>
    <col min="2" max="2" width="42.5" bestFit="1" customWidth="1"/>
    <col min="3" max="4" width="19.19921875" bestFit="1" customWidth="1"/>
    <col min="5" max="6" width="15.09765625" bestFit="1" customWidth="1"/>
    <col min="7" max="7" width="19.5" bestFit="1" customWidth="1"/>
    <col min="8" max="8" width="25.5" customWidth="1"/>
    <col min="11" max="11" width="18.8984375" bestFit="1" customWidth="1"/>
    <col min="12" max="12" width="13" bestFit="1" customWidth="1"/>
    <col min="13" max="14" width="15.09765625" bestFit="1" customWidth="1"/>
    <col min="15" max="15" width="19.5" bestFit="1" customWidth="1"/>
    <col min="16" max="16" width="25.5" customWidth="1"/>
    <col min="20" max="20" width="42.5" bestFit="1" customWidth="1"/>
    <col min="21" max="22" width="19.19921875" bestFit="1" customWidth="1"/>
  </cols>
  <sheetData>
    <row r="1" spans="2:6" x14ac:dyDescent="0.45">
      <c r="B1" s="4" t="s">
        <v>479</v>
      </c>
    </row>
    <row r="3" spans="2:6" ht="55.5" customHeight="1" x14ac:dyDescent="0.45">
      <c r="B3" s="15"/>
      <c r="C3" s="85" t="s">
        <v>1208</v>
      </c>
      <c r="D3" s="85" t="s">
        <v>1210</v>
      </c>
    </row>
    <row r="4" spans="2:6" x14ac:dyDescent="0.45">
      <c r="B4" s="21" t="s">
        <v>1174</v>
      </c>
      <c r="C4" s="23" t="e">
        <f>ツール入力シート!C79</f>
        <v>#DIV/0!</v>
      </c>
      <c r="D4" s="326" t="e">
        <f>ツール入力シート!E79</f>
        <v>#DIV/0!</v>
      </c>
    </row>
    <row r="5" spans="2:6" x14ac:dyDescent="0.45">
      <c r="B5" s="21" t="s">
        <v>1175</v>
      </c>
      <c r="C5" s="23" t="e">
        <f>ツール入力シート!C80</f>
        <v>#DIV/0!</v>
      </c>
      <c r="D5" s="326" t="e">
        <f>ツール入力シート!E80</f>
        <v>#DIV/0!</v>
      </c>
    </row>
    <row r="6" spans="2:6" x14ac:dyDescent="0.45">
      <c r="B6" s="21" t="s">
        <v>1236</v>
      </c>
      <c r="C6" s="23" t="e">
        <f>ツール入力シート!C81</f>
        <v>#N/A</v>
      </c>
      <c r="D6" s="326" t="e">
        <f>ツール入力シート!E81</f>
        <v>#N/A</v>
      </c>
      <c r="F6" s="340"/>
    </row>
    <row r="7" spans="2:6" x14ac:dyDescent="0.45">
      <c r="B7" s="21" t="s">
        <v>1248</v>
      </c>
      <c r="C7" s="23" t="e">
        <f>ツール入力シート!C82</f>
        <v>#DIV/0!</v>
      </c>
      <c r="D7" s="326" t="e">
        <f>ツール入力シート!E82</f>
        <v>#DIV/0!</v>
      </c>
    </row>
    <row r="8" spans="2:6" x14ac:dyDescent="0.45">
      <c r="B8" s="21" t="s">
        <v>1223</v>
      </c>
      <c r="C8" s="23" t="e">
        <f>D8/ツール入力シート!C10</f>
        <v>#DIV/0!</v>
      </c>
      <c r="D8" s="326" t="e">
        <f>D5-水処理対策シート!I17-汚泥処理対策シート!I17-追加対策シート!D28</f>
        <v>#DIV/0!</v>
      </c>
      <c r="E8" s="4"/>
    </row>
    <row r="9" spans="2:6" ht="36" x14ac:dyDescent="0.45">
      <c r="B9" s="328" t="s">
        <v>1251</v>
      </c>
      <c r="C9" s="327" t="e">
        <f>C8-C7</f>
        <v>#DIV/0!</v>
      </c>
      <c r="D9" s="326" t="e">
        <f>D8-D7</f>
        <v>#DIV/0!</v>
      </c>
      <c r="E9" s="4" t="s">
        <v>1252</v>
      </c>
    </row>
    <row r="10" spans="2:6" ht="36" x14ac:dyDescent="0.45">
      <c r="B10" s="329" t="s">
        <v>1238</v>
      </c>
      <c r="C10" s="327" t="e">
        <f>C8-C6</f>
        <v>#DIV/0!</v>
      </c>
      <c r="D10" s="326" t="e">
        <f>D8-D6</f>
        <v>#DIV/0!</v>
      </c>
      <c r="E10" s="4" t="s">
        <v>1239</v>
      </c>
    </row>
    <row r="41" spans="2:7" ht="37.5" customHeight="1" x14ac:dyDescent="0.45">
      <c r="B41" s="427" t="s">
        <v>1281</v>
      </c>
      <c r="C41" s="427"/>
      <c r="D41" s="427"/>
      <c r="E41" s="16" t="s">
        <v>1277</v>
      </c>
      <c r="F41" s="429" t="s">
        <v>1282</v>
      </c>
      <c r="G41" s="429"/>
    </row>
    <row r="42" spans="2:7" x14ac:dyDescent="0.45">
      <c r="B42" s="425" t="s">
        <v>1276</v>
      </c>
      <c r="C42" s="425"/>
      <c r="D42" s="425"/>
      <c r="E42" s="425"/>
      <c r="F42" s="425"/>
      <c r="G42" s="425"/>
    </row>
    <row r="43" spans="2:7" x14ac:dyDescent="0.45">
      <c r="B43" s="423" t="str">
        <f>IF(水処理対策シート!B8="○",水処理対策シート!E8,"")</f>
        <v/>
      </c>
      <c r="C43" s="423"/>
      <c r="D43" s="423"/>
      <c r="E43" s="339" t="str">
        <f>IF(水処理対策シート!B8="○",水処理対策シート!I8,"")</f>
        <v/>
      </c>
      <c r="F43" s="426" t="str">
        <f>IF(E43&lt;&gt;"",E43/$D$5*100,"")</f>
        <v/>
      </c>
      <c r="G43" s="426"/>
    </row>
    <row r="44" spans="2:7" x14ac:dyDescent="0.45">
      <c r="B44" s="423" t="str">
        <f>IF(水処理対策シート!B9="○",水処理対策シート!E9,"")</f>
        <v/>
      </c>
      <c r="C44" s="423"/>
      <c r="D44" s="423"/>
      <c r="E44" s="339" t="str">
        <f>IF(水処理対策シート!B9="○",水処理対策シート!I9,"")</f>
        <v/>
      </c>
      <c r="F44" s="426" t="str">
        <f t="shared" ref="F44:F81" si="0">IF(E44&lt;&gt;"",E44/$D$5*100,"")</f>
        <v/>
      </c>
      <c r="G44" s="426"/>
    </row>
    <row r="45" spans="2:7" x14ac:dyDescent="0.45">
      <c r="B45" s="423" t="str">
        <f>IF(水処理対策シート!B10="○",水処理対策シート!E10,"")</f>
        <v/>
      </c>
      <c r="C45" s="423"/>
      <c r="D45" s="423"/>
      <c r="E45" s="339" t="str">
        <f>IF(水処理対策シート!B10="○",水処理対策シート!I10,"")</f>
        <v/>
      </c>
      <c r="F45" s="426" t="str">
        <f t="shared" si="0"/>
        <v/>
      </c>
      <c r="G45" s="426"/>
    </row>
    <row r="46" spans="2:7" x14ac:dyDescent="0.45">
      <c r="B46" s="423" t="str">
        <f>IF(水処理対策シート!B11="○",水処理対策シート!E11,"")</f>
        <v/>
      </c>
      <c r="C46" s="423"/>
      <c r="D46" s="423"/>
      <c r="E46" s="339" t="str">
        <f>IF(水処理対策シート!B11="○",水処理対策シート!I11,"")</f>
        <v/>
      </c>
      <c r="F46" s="426" t="str">
        <f t="shared" si="0"/>
        <v/>
      </c>
      <c r="G46" s="426"/>
    </row>
    <row r="47" spans="2:7" x14ac:dyDescent="0.45">
      <c r="B47" s="423" t="str">
        <f>IF(水処理対策シート!B12="○",水処理対策シート!E12,"")</f>
        <v/>
      </c>
      <c r="C47" s="423"/>
      <c r="D47" s="423"/>
      <c r="E47" s="339" t="str">
        <f>IF(水処理対策シート!B12="○",水処理対策シート!I12,"")</f>
        <v/>
      </c>
      <c r="F47" s="426" t="str">
        <f t="shared" si="0"/>
        <v/>
      </c>
      <c r="G47" s="426"/>
    </row>
    <row r="48" spans="2:7" x14ac:dyDescent="0.45">
      <c r="B48" s="423" t="str">
        <f>IF(水処理対策シート!B13="○",水処理対策シート!E13,"")</f>
        <v/>
      </c>
      <c r="C48" s="423"/>
      <c r="D48" s="423"/>
      <c r="E48" s="339" t="str">
        <f>IF(水処理対策シート!B13="○",水処理対策シート!I13,"")</f>
        <v/>
      </c>
      <c r="F48" s="426" t="str">
        <f t="shared" si="0"/>
        <v/>
      </c>
      <c r="G48" s="426"/>
    </row>
    <row r="49" spans="2:7" x14ac:dyDescent="0.45">
      <c r="B49" s="423" t="str">
        <f>IF(水処理対策シート!B14="○",水処理対策シート!E14,"")</f>
        <v/>
      </c>
      <c r="C49" s="423"/>
      <c r="D49" s="423"/>
      <c r="E49" s="339" t="str">
        <f>IF(水処理対策シート!B14="○",水処理対策シート!I14,"")</f>
        <v/>
      </c>
      <c r="F49" s="426" t="str">
        <f t="shared" si="0"/>
        <v/>
      </c>
      <c r="G49" s="426"/>
    </row>
    <row r="50" spans="2:7" x14ac:dyDescent="0.45">
      <c r="B50" s="423" t="str">
        <f>IF(水処理対策シート!B15="○",水処理対策シート!E15,"")</f>
        <v/>
      </c>
      <c r="C50" s="423"/>
      <c r="D50" s="423"/>
      <c r="E50" s="339" t="str">
        <f>IF(水処理対策シート!B15="○",水処理対策シート!I15,"")</f>
        <v/>
      </c>
      <c r="F50" s="426" t="str">
        <f t="shared" si="0"/>
        <v/>
      </c>
      <c r="G50" s="426"/>
    </row>
    <row r="51" spans="2:7" x14ac:dyDescent="0.45">
      <c r="B51" s="423" t="str">
        <f>IF(水処理対策シート!B16="○",水処理対策シート!E16,"")</f>
        <v/>
      </c>
      <c r="C51" s="423"/>
      <c r="D51" s="423"/>
      <c r="E51" s="339" t="str">
        <f>IF(水処理対策シート!B16="○",水処理対策シート!I16,"")</f>
        <v/>
      </c>
      <c r="F51" s="426" t="str">
        <f t="shared" si="0"/>
        <v/>
      </c>
      <c r="G51" s="426"/>
    </row>
    <row r="52" spans="2:7" x14ac:dyDescent="0.45">
      <c r="B52" s="425" t="s">
        <v>1278</v>
      </c>
      <c r="C52" s="425"/>
      <c r="D52" s="425"/>
      <c r="E52" s="425"/>
      <c r="F52" s="425"/>
      <c r="G52" s="425"/>
    </row>
    <row r="53" spans="2:7" x14ac:dyDescent="0.45">
      <c r="B53" s="423" t="str">
        <f>IF(汚泥処理対策シート!B8="○",汚泥処理対策シート!E8,"")</f>
        <v/>
      </c>
      <c r="C53" s="423"/>
      <c r="D53" s="423"/>
      <c r="E53" s="339" t="str">
        <f>IF(汚泥処理対策シート!B8="○",汚泥処理対策シート!I8,"")</f>
        <v/>
      </c>
      <c r="F53" s="426" t="str">
        <f t="shared" si="0"/>
        <v/>
      </c>
      <c r="G53" s="426"/>
    </row>
    <row r="54" spans="2:7" x14ac:dyDescent="0.45">
      <c r="B54" s="423" t="str">
        <f>IF(汚泥処理対策シート!B9="○",汚泥処理対策シート!E9,"")</f>
        <v/>
      </c>
      <c r="C54" s="423"/>
      <c r="D54" s="423"/>
      <c r="E54" s="339" t="str">
        <f>IF(汚泥処理対策シート!B9="○",汚泥処理対策シート!I9,"")</f>
        <v/>
      </c>
      <c r="F54" s="426" t="str">
        <f t="shared" si="0"/>
        <v/>
      </c>
      <c r="G54" s="426"/>
    </row>
    <row r="55" spans="2:7" x14ac:dyDescent="0.45">
      <c r="B55" s="423" t="str">
        <f>IF(汚泥処理対策シート!B10="○",汚泥処理対策シート!E10,"")</f>
        <v/>
      </c>
      <c r="C55" s="423"/>
      <c r="D55" s="423"/>
      <c r="E55" s="339" t="str">
        <f>IF(汚泥処理対策シート!B10="○",汚泥処理対策シート!I10,"")</f>
        <v/>
      </c>
      <c r="F55" s="426" t="str">
        <f t="shared" si="0"/>
        <v/>
      </c>
      <c r="G55" s="426"/>
    </row>
    <row r="56" spans="2:7" x14ac:dyDescent="0.45">
      <c r="B56" s="423" t="str">
        <f>IF(汚泥処理対策シート!B11="○",汚泥処理対策シート!E11,"")</f>
        <v/>
      </c>
      <c r="C56" s="423"/>
      <c r="D56" s="423"/>
      <c r="E56" s="339" t="str">
        <f>IF(汚泥処理対策シート!B11="○",汚泥処理対策シート!I11,"")</f>
        <v/>
      </c>
      <c r="F56" s="426" t="str">
        <f t="shared" si="0"/>
        <v/>
      </c>
      <c r="G56" s="426"/>
    </row>
    <row r="57" spans="2:7" x14ac:dyDescent="0.45">
      <c r="B57" s="423" t="str">
        <f>IF(汚泥処理対策シート!B12="○",汚泥処理対策シート!E12,"")</f>
        <v/>
      </c>
      <c r="C57" s="423"/>
      <c r="D57" s="423"/>
      <c r="E57" s="339" t="str">
        <f>IF(汚泥処理対策シート!B12="○",汚泥処理対策シート!I12,"")</f>
        <v/>
      </c>
      <c r="F57" s="426" t="str">
        <f t="shared" si="0"/>
        <v/>
      </c>
      <c r="G57" s="426"/>
    </row>
    <row r="58" spans="2:7" x14ac:dyDescent="0.45">
      <c r="B58" s="423" t="str">
        <f>IF(汚泥処理対策シート!B13="○",汚泥処理対策シート!E13,"")</f>
        <v/>
      </c>
      <c r="C58" s="423"/>
      <c r="D58" s="423"/>
      <c r="E58" s="339" t="str">
        <f>IF(汚泥処理対策シート!B13="○",汚泥処理対策シート!I13,"")</f>
        <v/>
      </c>
      <c r="F58" s="426" t="str">
        <f t="shared" si="0"/>
        <v/>
      </c>
      <c r="G58" s="426"/>
    </row>
    <row r="59" spans="2:7" x14ac:dyDescent="0.45">
      <c r="B59" s="423" t="str">
        <f>IF(汚泥処理対策シート!B14="○",汚泥処理対策シート!E14,"")</f>
        <v/>
      </c>
      <c r="C59" s="423"/>
      <c r="D59" s="423"/>
      <c r="E59" s="339" t="str">
        <f>IF(汚泥処理対策シート!B14="○",汚泥処理対策シート!I14,"")</f>
        <v/>
      </c>
      <c r="F59" s="426" t="str">
        <f t="shared" si="0"/>
        <v/>
      </c>
      <c r="G59" s="426"/>
    </row>
    <row r="60" spans="2:7" x14ac:dyDescent="0.45">
      <c r="B60" s="423" t="str">
        <f>IF(汚泥処理対策シート!B15="○",汚泥処理対策シート!E15,"")</f>
        <v/>
      </c>
      <c r="C60" s="423"/>
      <c r="D60" s="423"/>
      <c r="E60" s="339" t="str">
        <f>IF(汚泥処理対策シート!B15="○",汚泥処理対策シート!I15,"")</f>
        <v/>
      </c>
      <c r="F60" s="426" t="str">
        <f t="shared" si="0"/>
        <v/>
      </c>
      <c r="G60" s="426"/>
    </row>
    <row r="61" spans="2:7" x14ac:dyDescent="0.45">
      <c r="B61" s="423" t="str">
        <f>IF(汚泥処理対策シート!B16="○",汚泥処理対策シート!E16,"")</f>
        <v/>
      </c>
      <c r="C61" s="423"/>
      <c r="D61" s="423"/>
      <c r="E61" s="339" t="str">
        <f>IF(汚泥処理対策シート!B16="○",汚泥処理対策シート!I16,"")</f>
        <v/>
      </c>
      <c r="F61" s="426" t="str">
        <f t="shared" si="0"/>
        <v/>
      </c>
      <c r="G61" s="426"/>
    </row>
    <row r="62" spans="2:7" x14ac:dyDescent="0.45">
      <c r="B62" s="425" t="s">
        <v>1279</v>
      </c>
      <c r="C62" s="425"/>
      <c r="D62" s="425"/>
      <c r="E62" s="425"/>
      <c r="F62" s="425"/>
      <c r="G62" s="425"/>
    </row>
    <row r="63" spans="2:7" x14ac:dyDescent="0.45">
      <c r="B63" s="423" t="str">
        <f>IF(追加対策シート!C8&gt;"",追加対策シート!C8,"")</f>
        <v/>
      </c>
      <c r="C63" s="423"/>
      <c r="D63" s="423"/>
      <c r="E63" s="339" t="str">
        <f>IF(追加対策シート!C8&gt;"",追加対策シート!D8,"")</f>
        <v/>
      </c>
      <c r="F63" s="426" t="str">
        <f t="shared" si="0"/>
        <v/>
      </c>
      <c r="G63" s="426"/>
    </row>
    <row r="64" spans="2:7" x14ac:dyDescent="0.45">
      <c r="B64" s="423" t="str">
        <f>IF(追加対策シート!C9&gt;"",追加対策シート!C9,"")</f>
        <v/>
      </c>
      <c r="C64" s="423"/>
      <c r="D64" s="423"/>
      <c r="E64" s="339" t="str">
        <f>IF(追加対策シート!C9&gt;"",追加対策シート!D9,"")</f>
        <v/>
      </c>
      <c r="F64" s="426" t="str">
        <f t="shared" si="0"/>
        <v/>
      </c>
      <c r="G64" s="426"/>
    </row>
    <row r="65" spans="2:7" x14ac:dyDescent="0.45">
      <c r="B65" s="423" t="str">
        <f>IF(追加対策シート!C10&gt;"",追加対策シート!C10,"")</f>
        <v/>
      </c>
      <c r="C65" s="423"/>
      <c r="D65" s="423"/>
      <c r="E65" s="339" t="str">
        <f>IF(追加対策シート!C10&gt;"",追加対策シート!D10,"")</f>
        <v/>
      </c>
      <c r="F65" s="426" t="str">
        <f t="shared" si="0"/>
        <v/>
      </c>
      <c r="G65" s="426"/>
    </row>
    <row r="66" spans="2:7" x14ac:dyDescent="0.45">
      <c r="B66" s="423" t="str">
        <f>IF(追加対策シート!C11&gt;"",追加対策シート!C11,"")</f>
        <v/>
      </c>
      <c r="C66" s="423"/>
      <c r="D66" s="423"/>
      <c r="E66" s="339" t="str">
        <f>IF(追加対策シート!C11&gt;"",追加対策シート!D11,"")</f>
        <v/>
      </c>
      <c r="F66" s="426" t="str">
        <f t="shared" si="0"/>
        <v/>
      </c>
      <c r="G66" s="426"/>
    </row>
    <row r="67" spans="2:7" x14ac:dyDescent="0.45">
      <c r="B67" s="423" t="str">
        <f>IF(追加対策シート!C12&gt;"",追加対策シート!C12,"")</f>
        <v/>
      </c>
      <c r="C67" s="423"/>
      <c r="D67" s="423"/>
      <c r="E67" s="339" t="str">
        <f>IF(追加対策シート!C12&gt;"",追加対策シート!D12,"")</f>
        <v/>
      </c>
      <c r="F67" s="426" t="str">
        <f t="shared" si="0"/>
        <v/>
      </c>
      <c r="G67" s="426"/>
    </row>
    <row r="68" spans="2:7" x14ac:dyDescent="0.45">
      <c r="B68" s="423" t="str">
        <f>IF(追加対策シート!C13&gt;"",追加対策シート!C13,"")</f>
        <v/>
      </c>
      <c r="C68" s="423"/>
      <c r="D68" s="423"/>
      <c r="E68" s="339" t="str">
        <f>IF(追加対策シート!C13&gt;"",追加対策シート!D13,"")</f>
        <v/>
      </c>
      <c r="F68" s="426" t="str">
        <f t="shared" si="0"/>
        <v/>
      </c>
      <c r="G68" s="426"/>
    </row>
    <row r="69" spans="2:7" x14ac:dyDescent="0.45">
      <c r="B69" s="423" t="str">
        <f>IF(追加対策シート!C14&gt;"",追加対策シート!C14,"")</f>
        <v/>
      </c>
      <c r="C69" s="423"/>
      <c r="D69" s="423"/>
      <c r="E69" s="339" t="str">
        <f>IF(追加対策シート!C14&gt;"",追加対策シート!D14,"")</f>
        <v/>
      </c>
      <c r="F69" s="426" t="str">
        <f t="shared" si="0"/>
        <v/>
      </c>
      <c r="G69" s="426"/>
    </row>
    <row r="70" spans="2:7" x14ac:dyDescent="0.45">
      <c r="B70" s="423" t="str">
        <f>IF(追加対策シート!C15&gt;"",追加対策シート!C15,"")</f>
        <v/>
      </c>
      <c r="C70" s="423"/>
      <c r="D70" s="423"/>
      <c r="E70" s="339" t="str">
        <f>IF(追加対策シート!C15&gt;"",追加対策シート!D15,"")</f>
        <v/>
      </c>
      <c r="F70" s="426" t="str">
        <f t="shared" si="0"/>
        <v/>
      </c>
      <c r="G70" s="426"/>
    </row>
    <row r="71" spans="2:7" x14ac:dyDescent="0.45">
      <c r="B71" s="423" t="str">
        <f>IF(追加対策シート!C16&gt;"",追加対策シート!C16,"")</f>
        <v/>
      </c>
      <c r="C71" s="423"/>
      <c r="D71" s="423"/>
      <c r="E71" s="339" t="str">
        <f>IF(追加対策シート!C16&gt;"",追加対策シート!D16,"")</f>
        <v/>
      </c>
      <c r="F71" s="426" t="str">
        <f t="shared" si="0"/>
        <v/>
      </c>
      <c r="G71" s="426"/>
    </row>
    <row r="72" spans="2:7" x14ac:dyDescent="0.45">
      <c r="B72" s="423" t="str">
        <f>IF(追加対策シート!C17&gt;"",追加対策シート!C17,"")</f>
        <v/>
      </c>
      <c r="C72" s="423"/>
      <c r="D72" s="423"/>
      <c r="E72" s="339" t="str">
        <f>IF(追加対策シート!C17&gt;"",追加対策シート!D17,"")</f>
        <v/>
      </c>
      <c r="F72" s="426" t="str">
        <f t="shared" si="0"/>
        <v/>
      </c>
      <c r="G72" s="426"/>
    </row>
    <row r="73" spans="2:7" x14ac:dyDescent="0.45">
      <c r="B73" s="423" t="str">
        <f>IF(追加対策シート!C18&gt;"",追加対策シート!C18,"")</f>
        <v/>
      </c>
      <c r="C73" s="423"/>
      <c r="D73" s="423"/>
      <c r="E73" s="339" t="str">
        <f>IF(追加対策シート!C18&gt;"",追加対策シート!D18,"")</f>
        <v/>
      </c>
      <c r="F73" s="426" t="str">
        <f t="shared" si="0"/>
        <v/>
      </c>
      <c r="G73" s="426"/>
    </row>
    <row r="74" spans="2:7" x14ac:dyDescent="0.45">
      <c r="B74" s="423" t="str">
        <f>IF(追加対策シート!C19&gt;"",追加対策シート!C19,"")</f>
        <v/>
      </c>
      <c r="C74" s="423"/>
      <c r="D74" s="423"/>
      <c r="E74" s="339" t="str">
        <f>IF(追加対策シート!C19&gt;"",追加対策シート!D19,"")</f>
        <v/>
      </c>
      <c r="F74" s="426" t="str">
        <f t="shared" si="0"/>
        <v/>
      </c>
      <c r="G74" s="426"/>
    </row>
    <row r="75" spans="2:7" x14ac:dyDescent="0.45">
      <c r="B75" s="423" t="str">
        <f>IF(追加対策シート!C20&gt;"",追加対策シート!C20,"")</f>
        <v/>
      </c>
      <c r="C75" s="423"/>
      <c r="D75" s="423"/>
      <c r="E75" s="339" t="str">
        <f>IF(追加対策シート!C20&gt;"",追加対策シート!D20,"")</f>
        <v/>
      </c>
      <c r="F75" s="426" t="str">
        <f t="shared" si="0"/>
        <v/>
      </c>
      <c r="G75" s="426"/>
    </row>
    <row r="76" spans="2:7" x14ac:dyDescent="0.45">
      <c r="B76" s="423" t="str">
        <f>IF(追加対策シート!C21&gt;"",追加対策シート!C21,"")</f>
        <v/>
      </c>
      <c r="C76" s="423"/>
      <c r="D76" s="423"/>
      <c r="E76" s="339" t="str">
        <f>IF(追加対策シート!C21&gt;"",追加対策シート!D21,"")</f>
        <v/>
      </c>
      <c r="F76" s="426" t="str">
        <f t="shared" si="0"/>
        <v/>
      </c>
      <c r="G76" s="426"/>
    </row>
    <row r="77" spans="2:7" x14ac:dyDescent="0.45">
      <c r="B77" s="423" t="str">
        <f>IF(追加対策シート!C22&gt;"",追加対策シート!C22,"")</f>
        <v/>
      </c>
      <c r="C77" s="423"/>
      <c r="D77" s="423"/>
      <c r="E77" s="339" t="str">
        <f>IF(追加対策シート!C22&gt;"",追加対策シート!D22,"")</f>
        <v/>
      </c>
      <c r="F77" s="426" t="str">
        <f t="shared" si="0"/>
        <v/>
      </c>
      <c r="G77" s="426"/>
    </row>
    <row r="78" spans="2:7" x14ac:dyDescent="0.45">
      <c r="B78" s="423" t="str">
        <f>IF(追加対策シート!C23&gt;"",追加対策シート!C23,"")</f>
        <v/>
      </c>
      <c r="C78" s="423"/>
      <c r="D78" s="423"/>
      <c r="E78" s="339" t="str">
        <f>IF(追加対策シート!C23&gt;"",追加対策シート!D23,"")</f>
        <v/>
      </c>
      <c r="F78" s="426" t="str">
        <f t="shared" si="0"/>
        <v/>
      </c>
      <c r="G78" s="426"/>
    </row>
    <row r="79" spans="2:7" x14ac:dyDescent="0.45">
      <c r="B79" s="423" t="str">
        <f>IF(追加対策シート!C24&gt;"",追加対策シート!C24,"")</f>
        <v/>
      </c>
      <c r="C79" s="423"/>
      <c r="D79" s="423"/>
      <c r="E79" s="339" t="str">
        <f>IF(追加対策シート!C24&gt;"",追加対策シート!D24,"")</f>
        <v/>
      </c>
      <c r="F79" s="426" t="str">
        <f t="shared" si="0"/>
        <v/>
      </c>
      <c r="G79" s="426"/>
    </row>
    <row r="80" spans="2:7" x14ac:dyDescent="0.45">
      <c r="B80" s="423" t="str">
        <f>IF(追加対策シート!C25&gt;"",追加対策シート!C25,"")</f>
        <v/>
      </c>
      <c r="C80" s="423"/>
      <c r="D80" s="423"/>
      <c r="E80" s="339" t="str">
        <f>IF(追加対策シート!C25&gt;"",追加対策シート!D25,"")</f>
        <v/>
      </c>
      <c r="F80" s="426" t="str">
        <f t="shared" si="0"/>
        <v/>
      </c>
      <c r="G80" s="426"/>
    </row>
    <row r="81" spans="2:7" x14ac:dyDescent="0.45">
      <c r="B81" s="423" t="str">
        <f>IF(追加対策シート!C26&gt;"",追加対策シート!C26,"")</f>
        <v/>
      </c>
      <c r="C81" s="423"/>
      <c r="D81" s="423"/>
      <c r="E81" s="339" t="str">
        <f>IF(追加対策シート!C26&gt;"",追加対策シート!D26,"")</f>
        <v/>
      </c>
      <c r="F81" s="426" t="str">
        <f t="shared" si="0"/>
        <v/>
      </c>
      <c r="G81" s="426"/>
    </row>
    <row r="82" spans="2:7" x14ac:dyDescent="0.45">
      <c r="B82" s="423" t="str">
        <f>IF(追加対策シート!C27&gt;"",追加対策シート!C27,"")</f>
        <v/>
      </c>
      <c r="C82" s="423"/>
      <c r="D82" s="423"/>
      <c r="E82" s="339" t="str">
        <f>IF(追加対策シート!C27&gt;"",追加対策シート!D27,"")</f>
        <v/>
      </c>
      <c r="F82" s="426" t="str">
        <f>IF(E82&lt;&gt;"",E82/$D$5*100,"")</f>
        <v/>
      </c>
      <c r="G82" s="426"/>
    </row>
    <row r="83" spans="2:7" x14ac:dyDescent="0.45">
      <c r="B83" s="428" t="s">
        <v>1280</v>
      </c>
      <c r="C83" s="428"/>
      <c r="D83" s="428"/>
      <c r="E83" s="341">
        <f>SUM(E43:E82)</f>
        <v>0</v>
      </c>
      <c r="F83" s="430" t="e">
        <f>E83/$D$5*100</f>
        <v>#DIV/0!</v>
      </c>
      <c r="G83" s="430"/>
    </row>
  </sheetData>
  <mergeCells count="83">
    <mergeCell ref="F79:G79"/>
    <mergeCell ref="F80:G80"/>
    <mergeCell ref="F81:G81"/>
    <mergeCell ref="F82:G82"/>
    <mergeCell ref="F83:G83"/>
    <mergeCell ref="F66:G66"/>
    <mergeCell ref="F55:G55"/>
    <mergeCell ref="F56:G56"/>
    <mergeCell ref="F57:G57"/>
    <mergeCell ref="F58:G58"/>
    <mergeCell ref="F59:G59"/>
    <mergeCell ref="F60:G60"/>
    <mergeCell ref="F76:G76"/>
    <mergeCell ref="F77:G77"/>
    <mergeCell ref="F78:G78"/>
    <mergeCell ref="F67:G67"/>
    <mergeCell ref="F68:G68"/>
    <mergeCell ref="F69:G69"/>
    <mergeCell ref="F70:G70"/>
    <mergeCell ref="F71:G71"/>
    <mergeCell ref="F72:G72"/>
    <mergeCell ref="F73:G73"/>
    <mergeCell ref="F74:G74"/>
    <mergeCell ref="F75:G75"/>
    <mergeCell ref="B83:D83"/>
    <mergeCell ref="F41:G41"/>
    <mergeCell ref="F43:G43"/>
    <mergeCell ref="F44:G44"/>
    <mergeCell ref="F45:G45"/>
    <mergeCell ref="F46:G46"/>
    <mergeCell ref="F47:G47"/>
    <mergeCell ref="F48:G48"/>
    <mergeCell ref="B78:D78"/>
    <mergeCell ref="B79:D79"/>
    <mergeCell ref="B80:D80"/>
    <mergeCell ref="B81:D81"/>
    <mergeCell ref="B82:D82"/>
    <mergeCell ref="B72:D72"/>
    <mergeCell ref="B73:D73"/>
    <mergeCell ref="B74:D74"/>
    <mergeCell ref="B75:D75"/>
    <mergeCell ref="B76:D76"/>
    <mergeCell ref="B77:D77"/>
    <mergeCell ref="B66:D66"/>
    <mergeCell ref="B67:D67"/>
    <mergeCell ref="B68:D68"/>
    <mergeCell ref="B69:D69"/>
    <mergeCell ref="B70:D70"/>
    <mergeCell ref="B71:D71"/>
    <mergeCell ref="B60:D60"/>
    <mergeCell ref="B61:D61"/>
    <mergeCell ref="B63:D63"/>
    <mergeCell ref="B64:D64"/>
    <mergeCell ref="B65:D65"/>
    <mergeCell ref="B62:G62"/>
    <mergeCell ref="F61:G61"/>
    <mergeCell ref="F63:G63"/>
    <mergeCell ref="F64:G64"/>
    <mergeCell ref="F65:G65"/>
    <mergeCell ref="B59:D59"/>
    <mergeCell ref="B41:D41"/>
    <mergeCell ref="B42:G42"/>
    <mergeCell ref="B49:D49"/>
    <mergeCell ref="B50:D50"/>
    <mergeCell ref="B51:D51"/>
    <mergeCell ref="B53:D53"/>
    <mergeCell ref="B54:D54"/>
    <mergeCell ref="B55:D55"/>
    <mergeCell ref="B43:D43"/>
    <mergeCell ref="B44:D44"/>
    <mergeCell ref="B45:D45"/>
    <mergeCell ref="B46:D46"/>
    <mergeCell ref="F49:G49"/>
    <mergeCell ref="F50:G50"/>
    <mergeCell ref="F51:G51"/>
    <mergeCell ref="B47:D47"/>
    <mergeCell ref="B48:D48"/>
    <mergeCell ref="B56:D56"/>
    <mergeCell ref="B57:D57"/>
    <mergeCell ref="B58:D58"/>
    <mergeCell ref="B52:G52"/>
    <mergeCell ref="F53:G53"/>
    <mergeCell ref="F54:G54"/>
  </mergeCells>
  <phoneticPr fontId="2"/>
  <pageMargins left="0.7" right="0.7" top="0.75" bottom="0.75" header="0.3" footer="0.3"/>
  <pageSetup paperSize="8" scale="4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BE9D2-DF34-4FCD-851B-8EAAAC5E0B6D}">
  <sheetPr codeName="Sheet9">
    <tabColor rgb="FF0070C0"/>
  </sheetPr>
  <dimension ref="B2:M15"/>
  <sheetViews>
    <sheetView zoomScaleNormal="100" workbookViewId="0"/>
  </sheetViews>
  <sheetFormatPr defaultRowHeight="18" x14ac:dyDescent="0.45"/>
  <cols>
    <col min="2" max="2" width="10.5" customWidth="1"/>
    <col min="4" max="4" width="9.3984375" bestFit="1" customWidth="1"/>
    <col min="5" max="5" width="31.19921875" customWidth="1"/>
  </cols>
  <sheetData>
    <row r="2" spans="2:13" ht="22.2" x14ac:dyDescent="0.45">
      <c r="B2" s="28" t="s">
        <v>109</v>
      </c>
      <c r="M2" s="242" t="s">
        <v>1145</v>
      </c>
    </row>
    <row r="3" spans="2:13" x14ac:dyDescent="0.45">
      <c r="B3" s="32" t="s">
        <v>94</v>
      </c>
      <c r="C3" s="33"/>
      <c r="D3" s="33"/>
      <c r="E3" s="33"/>
      <c r="H3" s="18"/>
      <c r="I3" t="s">
        <v>79</v>
      </c>
    </row>
    <row r="4" spans="2:13" x14ac:dyDescent="0.45">
      <c r="B4" s="310" t="s">
        <v>97</v>
      </c>
      <c r="C4" s="311"/>
      <c r="D4" s="311"/>
      <c r="E4" s="311"/>
      <c r="H4" s="7"/>
      <c r="I4" t="s">
        <v>80</v>
      </c>
    </row>
    <row r="5" spans="2:13" x14ac:dyDescent="0.45">
      <c r="H5" s="332"/>
      <c r="I5" t="s">
        <v>1243</v>
      </c>
    </row>
    <row r="6" spans="2:13" x14ac:dyDescent="0.45">
      <c r="H6" s="11"/>
      <c r="I6" t="s">
        <v>81</v>
      </c>
    </row>
    <row r="7" spans="2:13" x14ac:dyDescent="0.45">
      <c r="B7" s="4" t="s">
        <v>96</v>
      </c>
      <c r="C7" s="4"/>
    </row>
    <row r="9" spans="2:13" x14ac:dyDescent="0.45">
      <c r="B9" s="407" t="s">
        <v>153</v>
      </c>
      <c r="C9" s="407"/>
      <c r="D9" s="432" t="s">
        <v>155</v>
      </c>
      <c r="E9" s="433"/>
    </row>
    <row r="10" spans="2:13" x14ac:dyDescent="0.45">
      <c r="B10" s="407" t="s">
        <v>83</v>
      </c>
      <c r="C10" s="407"/>
      <c r="D10" s="8"/>
      <c r="E10" s="11" t="s">
        <v>84</v>
      </c>
    </row>
    <row r="11" spans="2:13" x14ac:dyDescent="0.45">
      <c r="B11" s="407" t="s">
        <v>85</v>
      </c>
      <c r="C11" s="407"/>
      <c r="D11" s="11">
        <v>16</v>
      </c>
      <c r="E11" s="11" t="s">
        <v>86</v>
      </c>
      <c r="F11" t="s">
        <v>87</v>
      </c>
    </row>
    <row r="12" spans="2:13" x14ac:dyDescent="0.45">
      <c r="B12" s="407" t="s">
        <v>88</v>
      </c>
      <c r="C12" s="407"/>
      <c r="D12" s="8"/>
      <c r="E12" s="11" t="s">
        <v>89</v>
      </c>
      <c r="F12" s="4" t="s">
        <v>90</v>
      </c>
    </row>
    <row r="13" spans="2:13" x14ac:dyDescent="0.45">
      <c r="B13" s="407" t="s">
        <v>91</v>
      </c>
      <c r="C13" s="407"/>
      <c r="D13" s="7">
        <f>(D10*D11/100)*D12/100</f>
        <v>0</v>
      </c>
      <c r="E13" s="11" t="s">
        <v>84</v>
      </c>
      <c r="F13" s="4" t="s">
        <v>95</v>
      </c>
    </row>
    <row r="14" spans="2:13" x14ac:dyDescent="0.45">
      <c r="B14" s="407" t="s">
        <v>70</v>
      </c>
      <c r="C14" s="407"/>
      <c r="D14" s="332">
        <f>ツール入力シート!C13</f>
        <v>0.25</v>
      </c>
      <c r="E14" s="11" t="s">
        <v>92</v>
      </c>
    </row>
    <row r="15" spans="2:13" x14ac:dyDescent="0.45">
      <c r="B15" s="431" t="s">
        <v>93</v>
      </c>
      <c r="C15" s="431"/>
      <c r="D15" s="367">
        <f>D13*D14</f>
        <v>0</v>
      </c>
      <c r="E15" s="312" t="s">
        <v>21</v>
      </c>
    </row>
  </sheetData>
  <mergeCells count="8">
    <mergeCell ref="B14:C14"/>
    <mergeCell ref="B15:C15"/>
    <mergeCell ref="D9:E9"/>
    <mergeCell ref="B9:C9"/>
    <mergeCell ref="B10:C10"/>
    <mergeCell ref="B11:C11"/>
    <mergeCell ref="B12:C12"/>
    <mergeCell ref="B13:C13"/>
  </mergeCells>
  <phoneticPr fontId="2"/>
  <hyperlinks>
    <hyperlink ref="M2" location="水処理対策シート!A1" display="クリックで対策シートに戻る" xr:uid="{7BE09FE5-614C-4D97-9D18-FDD08B35789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12430-B58B-4251-9A34-50F1B3D3B8EF}">
  <sheetPr codeName="Sheet10">
    <tabColor rgb="FF0070C0"/>
  </sheetPr>
  <dimension ref="B2:M33"/>
  <sheetViews>
    <sheetView zoomScale="80" zoomScaleNormal="80" workbookViewId="0"/>
  </sheetViews>
  <sheetFormatPr defaultRowHeight="18" x14ac:dyDescent="0.45"/>
  <cols>
    <col min="2" max="2" width="10.5" customWidth="1"/>
    <col min="4" max="4" width="9.3984375" bestFit="1" customWidth="1"/>
    <col min="5" max="5" width="31.19921875" customWidth="1"/>
  </cols>
  <sheetData>
    <row r="2" spans="2:13" ht="22.2" x14ac:dyDescent="0.45">
      <c r="B2" s="28" t="s">
        <v>110</v>
      </c>
      <c r="M2" s="242" t="s">
        <v>1145</v>
      </c>
    </row>
    <row r="3" spans="2:13" x14ac:dyDescent="0.45">
      <c r="B3" s="32" t="s">
        <v>94</v>
      </c>
      <c r="C3" s="33"/>
      <c r="D3" s="33"/>
      <c r="E3" s="33"/>
      <c r="H3" s="18"/>
      <c r="I3" t="s">
        <v>79</v>
      </c>
    </row>
    <row r="4" spans="2:13" x14ac:dyDescent="0.45">
      <c r="B4" s="310" t="s">
        <v>97</v>
      </c>
      <c r="C4" s="311"/>
      <c r="D4" s="311"/>
      <c r="E4" s="311"/>
      <c r="H4" s="7"/>
      <c r="I4" t="s">
        <v>80</v>
      </c>
    </row>
    <row r="5" spans="2:13" x14ac:dyDescent="0.45">
      <c r="H5" s="332"/>
      <c r="I5" t="s">
        <v>1243</v>
      </c>
    </row>
    <row r="6" spans="2:13" x14ac:dyDescent="0.45">
      <c r="H6" s="11"/>
      <c r="I6" t="s">
        <v>81</v>
      </c>
    </row>
    <row r="7" spans="2:13" x14ac:dyDescent="0.45">
      <c r="B7" s="31" t="s">
        <v>127</v>
      </c>
      <c r="C7" s="4"/>
    </row>
    <row r="8" spans="2:13" x14ac:dyDescent="0.45">
      <c r="B8" s="31" t="s">
        <v>1263</v>
      </c>
      <c r="C8" s="4"/>
    </row>
    <row r="9" spans="2:13" x14ac:dyDescent="0.45">
      <c r="B9" s="31"/>
      <c r="C9" s="4"/>
    </row>
    <row r="10" spans="2:13" x14ac:dyDescent="0.45">
      <c r="B10" s="31" t="s">
        <v>1146</v>
      </c>
      <c r="C10" s="4"/>
      <c r="D10" s="31" t="s">
        <v>1147</v>
      </c>
    </row>
    <row r="11" spans="2:13" x14ac:dyDescent="0.45">
      <c r="B11" s="31"/>
      <c r="C11" s="4"/>
    </row>
    <row r="12" spans="2:13" x14ac:dyDescent="0.45">
      <c r="B12" s="31"/>
      <c r="C12" s="4"/>
    </row>
    <row r="13" spans="2:13" x14ac:dyDescent="0.45">
      <c r="B13" s="31"/>
      <c r="C13" s="4"/>
    </row>
    <row r="14" spans="2:13" x14ac:dyDescent="0.45">
      <c r="B14" s="31"/>
      <c r="C14" s="4"/>
    </row>
    <row r="15" spans="2:13" x14ac:dyDescent="0.45">
      <c r="B15" s="31"/>
      <c r="C15" s="4"/>
    </row>
    <row r="16" spans="2:13" x14ac:dyDescent="0.45">
      <c r="B16" s="31"/>
      <c r="C16" s="4"/>
    </row>
    <row r="17" spans="2:6" x14ac:dyDescent="0.45">
      <c r="B17" s="31"/>
      <c r="C17" s="4"/>
    </row>
    <row r="18" spans="2:6" x14ac:dyDescent="0.45">
      <c r="B18" s="31"/>
      <c r="C18" s="4"/>
    </row>
    <row r="19" spans="2:6" x14ac:dyDescent="0.45">
      <c r="B19" s="31"/>
      <c r="C19" s="4"/>
    </row>
    <row r="20" spans="2:6" x14ac:dyDescent="0.45">
      <c r="B20" s="31"/>
      <c r="C20" s="4"/>
    </row>
    <row r="21" spans="2:6" x14ac:dyDescent="0.45">
      <c r="B21" s="31"/>
      <c r="C21" s="4"/>
    </row>
    <row r="22" spans="2:6" x14ac:dyDescent="0.45">
      <c r="B22" s="31"/>
      <c r="C22" s="4"/>
    </row>
    <row r="23" spans="2:6" x14ac:dyDescent="0.45">
      <c r="B23" s="31"/>
      <c r="C23" s="4"/>
    </row>
    <row r="24" spans="2:6" x14ac:dyDescent="0.45">
      <c r="B24" s="31"/>
      <c r="C24" s="4"/>
    </row>
    <row r="25" spans="2:6" x14ac:dyDescent="0.45">
      <c r="B25" s="31"/>
      <c r="C25" s="4"/>
    </row>
    <row r="26" spans="2:6" ht="18" customHeight="1" x14ac:dyDescent="0.45"/>
    <row r="27" spans="2:6" x14ac:dyDescent="0.45">
      <c r="B27" s="407" t="s">
        <v>153</v>
      </c>
      <c r="C27" s="407"/>
      <c r="D27" s="73" t="s">
        <v>155</v>
      </c>
      <c r="E27" s="74"/>
    </row>
    <row r="28" spans="2:6" x14ac:dyDescent="0.45">
      <c r="B28" s="407" t="s">
        <v>83</v>
      </c>
      <c r="C28" s="407"/>
      <c r="D28" s="8"/>
      <c r="E28" s="11" t="s">
        <v>84</v>
      </c>
    </row>
    <row r="29" spans="2:6" x14ac:dyDescent="0.45">
      <c r="B29" s="407" t="s">
        <v>85</v>
      </c>
      <c r="C29" s="407"/>
      <c r="D29" s="11">
        <v>12.9</v>
      </c>
      <c r="E29" s="11" t="s">
        <v>86</v>
      </c>
      <c r="F29" t="s">
        <v>108</v>
      </c>
    </row>
    <row r="30" spans="2:6" x14ac:dyDescent="0.45">
      <c r="B30" s="407" t="s">
        <v>88</v>
      </c>
      <c r="C30" s="407"/>
      <c r="D30" s="8"/>
      <c r="E30" s="11" t="s">
        <v>89</v>
      </c>
      <c r="F30" s="4" t="s">
        <v>90</v>
      </c>
    </row>
    <row r="31" spans="2:6" x14ac:dyDescent="0.45">
      <c r="B31" s="407" t="s">
        <v>91</v>
      </c>
      <c r="C31" s="407"/>
      <c r="D31" s="7">
        <f>(D28*D29/100)*D30/100</f>
        <v>0</v>
      </c>
      <c r="E31" s="11" t="s">
        <v>84</v>
      </c>
      <c r="F31" s="4" t="s">
        <v>95</v>
      </c>
    </row>
    <row r="32" spans="2:6" x14ac:dyDescent="0.45">
      <c r="B32" s="407" t="s">
        <v>70</v>
      </c>
      <c r="C32" s="407"/>
      <c r="D32" s="332">
        <f>ツール入力シート!C13</f>
        <v>0.25</v>
      </c>
      <c r="E32" s="11" t="s">
        <v>92</v>
      </c>
    </row>
    <row r="33" spans="2:5" x14ac:dyDescent="0.45">
      <c r="B33" s="431" t="s">
        <v>93</v>
      </c>
      <c r="C33" s="431"/>
      <c r="D33" s="367">
        <f>D31*D32</f>
        <v>0</v>
      </c>
      <c r="E33" s="312" t="s">
        <v>21</v>
      </c>
    </row>
  </sheetData>
  <mergeCells count="7">
    <mergeCell ref="B33:C33"/>
    <mergeCell ref="B27:C27"/>
    <mergeCell ref="B28:C28"/>
    <mergeCell ref="B29:C29"/>
    <mergeCell ref="B30:C30"/>
    <mergeCell ref="B31:C31"/>
    <mergeCell ref="B32:C32"/>
  </mergeCells>
  <phoneticPr fontId="2"/>
  <hyperlinks>
    <hyperlink ref="M2" location="水処理対策シート!A1" display="クリックで対策シートに戻る" xr:uid="{B1819183-B732-4B49-A244-40243EC76D95}"/>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7</vt:i4>
      </vt:variant>
    </vt:vector>
  </HeadingPairs>
  <TitlesOfParts>
    <vt:vector size="32" baseType="lpstr">
      <vt:lpstr>互換性の確認</vt:lpstr>
      <vt:lpstr>選択肢リスト</vt:lpstr>
      <vt:lpstr>ツール入力シート</vt:lpstr>
      <vt:lpstr>水処理対策シート</vt:lpstr>
      <vt:lpstr>汚泥処理対策シート</vt:lpstr>
      <vt:lpstr>追加対策シート</vt:lpstr>
      <vt:lpstr>対策後の結果の出力</vt:lpstr>
      <vt:lpstr>水処理対策No.1</vt:lpstr>
      <vt:lpstr>水処理対策No.2</vt:lpstr>
      <vt:lpstr>水処理対策No.3</vt:lpstr>
      <vt:lpstr>水処理対策No.4</vt:lpstr>
      <vt:lpstr>水処理対策No.5</vt:lpstr>
      <vt:lpstr>水処理対策No.6</vt:lpstr>
      <vt:lpstr>水処理対策No.7</vt:lpstr>
      <vt:lpstr>水処理対策No.8</vt:lpstr>
      <vt:lpstr>水処理対策No.9</vt:lpstr>
      <vt:lpstr>汚泥処理対策No.1</vt:lpstr>
      <vt:lpstr>汚泥処理対策No.2</vt:lpstr>
      <vt:lpstr>汚泥処理対策No.3</vt:lpstr>
      <vt:lpstr>汚泥処理対策No.4</vt:lpstr>
      <vt:lpstr>汚泥処理対策No.5</vt:lpstr>
      <vt:lpstr>汚泥処理対策No.6</vt:lpstr>
      <vt:lpstr>汚泥処理対策No.7</vt:lpstr>
      <vt:lpstr>汚泥処理対策No.8</vt:lpstr>
      <vt:lpstr>汚泥処理対策No.9</vt:lpstr>
      <vt:lpstr>追加対策シート!_Hlk130405739</vt:lpstr>
      <vt:lpstr>追加対策シート!_Hlk130413781</vt:lpstr>
      <vt:lpstr>ツール入力シート!Print_Area</vt:lpstr>
      <vt:lpstr>汚泥処理対策No.5!Print_Area</vt:lpstr>
      <vt:lpstr>汚泥処理対策No.6!Print_Area</vt:lpstr>
      <vt:lpstr>汚泥処理対策No.7!Print_Area</vt:lpstr>
      <vt:lpstr>汚泥処理対策No.9!Print_Area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蓮見 修平</dc:creator>
  <cp:lastModifiedBy>外川 弘典</cp:lastModifiedBy>
  <cp:lastPrinted>2023-03-23T05:38:39Z</cp:lastPrinted>
  <dcterms:created xsi:type="dcterms:W3CDTF">2022-01-27T10:15:37Z</dcterms:created>
  <dcterms:modified xsi:type="dcterms:W3CDTF">2024-04-15T02:46:34Z</dcterms:modified>
</cp:coreProperties>
</file>