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15" yWindow="405" windowWidth="13350" windowHeight="12840" tabRatio="768" activeTab="0"/>
  </bookViews>
  <sheets>
    <sheet name="表紙" sheetId="1" r:id="rId1"/>
    <sheet name="地盤状態入力" sheetId="2" r:id="rId2"/>
    <sheet name="圧密沈下量計算" sheetId="3" r:id="rId3"/>
    <sheet name="プレゼン" sheetId="4" r:id="rId4"/>
    <sheet name="液状化抑制効果計算" sheetId="5" r:id="rId5"/>
    <sheet name="地盤状態入力 (解説)" sheetId="6" r:id="rId6"/>
    <sheet name="圧密沈下量計算 (解説)" sheetId="7" r:id="rId7"/>
    <sheet name="プレゼン（解説）" sheetId="8" r:id="rId8"/>
    <sheet name="液状化抑制効果計算 （解説）" sheetId="9" r:id="rId9"/>
    <sheet name="理論" sheetId="10" r:id="rId10"/>
  </sheets>
  <definedNames>
    <definedName name="_xlnm.Print_Area" localSheetId="3">'プレゼン'!$B$2:$AA$57</definedName>
    <definedName name="_xlnm.Print_Area" localSheetId="7">'プレゼン（解説）'!$B$2:$AA$57</definedName>
    <definedName name="_xlnm.Print_Area" localSheetId="2">'圧密沈下量計算'!$B$2:$X$58</definedName>
    <definedName name="_xlnm.Print_Area" localSheetId="6">'圧密沈下量計算 (解説)'!$B$2:$X$58</definedName>
    <definedName name="_xlnm.Print_Area" localSheetId="4">'液状化抑制効果計算'!$B$2:$AJ$58</definedName>
    <definedName name="_xlnm.Print_Area" localSheetId="8">'液状化抑制効果計算 （解説）'!$B$2:$AJ$58</definedName>
    <definedName name="_xlnm.Print_Area" localSheetId="1">'地盤状態入力'!$B$2:$L$59</definedName>
    <definedName name="_xlnm.Print_Area" localSheetId="5">'地盤状態入力 (解説)'!$A$1:$W$60</definedName>
    <definedName name="_xlnm.Print_Area" localSheetId="0">'表紙'!$B$1:$U$51</definedName>
    <definedName name="_xlnm.Print_Area" localSheetId="9">'理論'!$A$2:$AG$62</definedName>
  </definedNames>
  <calcPr fullCalcOnLoad="1"/>
</workbook>
</file>

<file path=xl/comments3.xml><?xml version="1.0" encoding="utf-8"?>
<comments xmlns="http://schemas.openxmlformats.org/spreadsheetml/2006/main">
  <authors>
    <author>narita</author>
  </authors>
  <commentList>
    <comment ref="B11" authorId="0">
      <text>
        <r>
          <rPr>
            <b/>
            <sz val="9"/>
            <rFont val="ＭＳ Ｐゴシック"/>
            <family val="3"/>
          </rPr>
          <t>層厚より自動計算</t>
        </r>
      </text>
    </comment>
    <comment ref="D13" authorId="0">
      <text>
        <r>
          <rPr>
            <b/>
            <sz val="9"/>
            <rFont val="ＭＳ Ｐゴシック"/>
            <family val="3"/>
          </rPr>
          <t>層厚0以下は無視されます。</t>
        </r>
      </text>
    </comment>
  </commentList>
</comments>
</file>

<file path=xl/comments5.xml><?xml version="1.0" encoding="utf-8"?>
<comments xmlns="http://schemas.openxmlformats.org/spreadsheetml/2006/main">
  <authors>
    <author>narita</author>
  </authors>
  <commentList>
    <comment ref="H12" authorId="0">
      <text>
        <r>
          <rPr>
            <b/>
            <sz val="9"/>
            <rFont val="ＭＳ Ｐゴシック"/>
            <family val="3"/>
          </rPr>
          <t>「なし」の場合、空欄
「あり」の場合、任意文字列。○、有等</t>
        </r>
      </text>
    </comment>
  </commentList>
</comments>
</file>

<file path=xl/comments7.xml><?xml version="1.0" encoding="utf-8"?>
<comments xmlns="http://schemas.openxmlformats.org/spreadsheetml/2006/main">
  <authors>
    <author>narita</author>
  </authors>
  <commentList>
    <comment ref="B11" authorId="0">
      <text>
        <r>
          <rPr>
            <b/>
            <sz val="9"/>
            <rFont val="ＭＳ Ｐゴシック"/>
            <family val="3"/>
          </rPr>
          <t>層厚より自動計算</t>
        </r>
      </text>
    </comment>
    <comment ref="D13" authorId="0">
      <text>
        <r>
          <rPr>
            <b/>
            <sz val="9"/>
            <rFont val="ＭＳ Ｐゴシック"/>
            <family val="3"/>
          </rPr>
          <t>層厚0以下は無視されます。</t>
        </r>
      </text>
    </comment>
  </commentList>
</comments>
</file>

<file path=xl/comments9.xml><?xml version="1.0" encoding="utf-8"?>
<comments xmlns="http://schemas.openxmlformats.org/spreadsheetml/2006/main">
  <authors>
    <author>narita</author>
  </authors>
  <commentList>
    <comment ref="H12" authorId="0">
      <text>
        <r>
          <rPr>
            <b/>
            <sz val="9"/>
            <rFont val="ＭＳ Ｐゴシック"/>
            <family val="3"/>
          </rPr>
          <t>「なし」の場合、空欄
「あり」の場合、任意文字列。○、有等</t>
        </r>
      </text>
    </comment>
  </commentList>
</comments>
</file>

<file path=xl/sharedStrings.xml><?xml version="1.0" encoding="utf-8"?>
<sst xmlns="http://schemas.openxmlformats.org/spreadsheetml/2006/main" count="2194" uniqueCount="203">
  <si>
    <t>深度</t>
  </si>
  <si>
    <t>N値</t>
  </si>
  <si>
    <t>(m)</t>
  </si>
  <si>
    <t>σ'z (kPa)</t>
  </si>
  <si>
    <t>土質</t>
  </si>
  <si>
    <t>細粒分</t>
  </si>
  <si>
    <t>含有率</t>
  </si>
  <si>
    <t>鉛直</t>
  </si>
  <si>
    <t>全応力</t>
  </si>
  <si>
    <t>有効応力</t>
  </si>
  <si>
    <t>FC（％）</t>
  </si>
  <si>
    <t>ｍ</t>
  </si>
  <si>
    <t>換算</t>
  </si>
  <si>
    <t>N値</t>
  </si>
  <si>
    <t>飽和度</t>
  </si>
  <si>
    <t>低減係数</t>
  </si>
  <si>
    <t>補正</t>
  </si>
  <si>
    <t>増分</t>
  </si>
  <si>
    <t>液状化</t>
  </si>
  <si>
    <t>抵抗比</t>
  </si>
  <si>
    <t>繰り返し</t>
  </si>
  <si>
    <t>せん断</t>
  </si>
  <si>
    <t>応力比</t>
  </si>
  <si>
    <t>安全率</t>
  </si>
  <si>
    <t>Fl値</t>
  </si>
  <si>
    <t>判定</t>
  </si>
  <si>
    <t>（赤）</t>
  </si>
  <si>
    <t>液状化抑制効果計算シート</t>
  </si>
  <si>
    <t>地盤内</t>
  </si>
  <si>
    <t>混入化</t>
  </si>
  <si>
    <t>地盤状態入力シート</t>
  </si>
  <si>
    <t>低下後地下水位</t>
  </si>
  <si>
    <t>項目名</t>
  </si>
  <si>
    <t>調査地点ID</t>
  </si>
  <si>
    <t>地下水位</t>
  </si>
  <si>
    <t>単位体積</t>
  </si>
  <si>
    <t>重量</t>
  </si>
  <si>
    <t>（ｋN/m3）</t>
  </si>
  <si>
    <t>（％）</t>
  </si>
  <si>
    <t>層厚</t>
  </si>
  <si>
    <t>初期</t>
  </si>
  <si>
    <t>間隙比</t>
  </si>
  <si>
    <t>圧縮係数</t>
  </si>
  <si>
    <t>プレゼンテーションシート</t>
  </si>
  <si>
    <t>メモ等</t>
  </si>
  <si>
    <t>(%)</t>
  </si>
  <si>
    <t>土質</t>
  </si>
  <si>
    <t>層下端</t>
  </si>
  <si>
    <t>Csb</t>
  </si>
  <si>
    <t>砂礫N値</t>
  </si>
  <si>
    <t>補正係数</t>
  </si>
  <si>
    <t>重力加速度</t>
  </si>
  <si>
    <t>cm/s2</t>
  </si>
  <si>
    <t>地盤内</t>
  </si>
  <si>
    <t>係数</t>
  </si>
  <si>
    <t>地表面加速度
(gal)</t>
  </si>
  <si>
    <t>震源
（ﾏｸﾞﾆﾁｭｰﾄﾞ）</t>
  </si>
  <si>
    <t>条件</t>
  </si>
  <si>
    <t>砂礫</t>
  </si>
  <si>
    <t>50%粒径</t>
  </si>
  <si>
    <t>D50 (mm)</t>
  </si>
  <si>
    <t>補正係数
γn</t>
  </si>
  <si>
    <t>(m/s)</t>
  </si>
  <si>
    <t>深度
(m)</t>
  </si>
  <si>
    <t>地下水低下高</t>
  </si>
  <si>
    <t>飽和度</t>
  </si>
  <si>
    <t>地盤内</t>
  </si>
  <si>
    <t>情報</t>
  </si>
  <si>
    <t>空地混入化</t>
  </si>
  <si>
    <t>グラフ用</t>
  </si>
  <si>
    <t>鉛直</t>
  </si>
  <si>
    <t>(kPa)</t>
  </si>
  <si>
    <t>G1</t>
  </si>
  <si>
    <t>+</t>
  </si>
  <si>
    <t>-</t>
  </si>
  <si>
    <t>G2</t>
  </si>
  <si>
    <t>水位 前</t>
  </si>
  <si>
    <t>水位 後</t>
  </si>
  <si>
    <t>対象層</t>
  </si>
  <si>
    <t>液状化判定</t>
  </si>
  <si>
    <t>Type1Dcy</t>
  </si>
  <si>
    <t>Type2Dcy</t>
  </si>
  <si>
    <t>空気</t>
  </si>
  <si>
    <t>空気混入</t>
  </si>
  <si>
    <t>Type3Dcy</t>
  </si>
  <si>
    <t>Fl-1</t>
  </si>
  <si>
    <t>W1</t>
  </si>
  <si>
    <t>W2</t>
  </si>
  <si>
    <t>層中央</t>
  </si>
  <si>
    <t>内部計算用</t>
  </si>
  <si>
    <t>内部計算用</t>
  </si>
  <si>
    <t>圧密沈下量入力・計算シート</t>
  </si>
  <si>
    <t>地表水平変位量
Dcy(cm)</t>
  </si>
  <si>
    <t>cm</t>
  </si>
  <si>
    <t>液状化による沈下量</t>
  </si>
  <si>
    <t>Dcy値</t>
  </si>
  <si>
    <t>砂質土</t>
  </si>
  <si>
    <t>表土</t>
  </si>
  <si>
    <t>圧密沈下量</t>
  </si>
  <si>
    <t>ｍ</t>
  </si>
  <si>
    <t>Cc法</t>
  </si>
  <si>
    <t>cm</t>
  </si>
  <si>
    <t>cm</t>
  </si>
  <si>
    <t>ｍ</t>
  </si>
  <si>
    <t>elogｐ曲線</t>
  </si>
  <si>
    <t>低下前の</t>
  </si>
  <si>
    <t>低下後の</t>
  </si>
  <si>
    <t>Cc法による</t>
  </si>
  <si>
    <t>による</t>
  </si>
  <si>
    <t>番号</t>
  </si>
  <si>
    <t>（m）</t>
  </si>
  <si>
    <t>（ｋN/m3）</t>
  </si>
  <si>
    <t>e0</t>
  </si>
  <si>
    <t>Cc</t>
  </si>
  <si>
    <t>σ'z (kPa)</t>
  </si>
  <si>
    <t>（kPa）</t>
  </si>
  <si>
    <t>(kPa)</t>
  </si>
  <si>
    <t>表土</t>
  </si>
  <si>
    <r>
      <t>c</t>
    </r>
    <r>
      <rPr>
        <sz val="11"/>
        <color indexed="8"/>
        <rFont val="ＭＳ Ｐゴシック"/>
        <family val="3"/>
      </rPr>
      <t>m</t>
    </r>
  </si>
  <si>
    <t>cm</t>
  </si>
  <si>
    <t>e-logp曲線入力</t>
  </si>
  <si>
    <t>番号</t>
  </si>
  <si>
    <t>e</t>
  </si>
  <si>
    <t>p：圧縮応力（kN/m2）</t>
  </si>
  <si>
    <t>e：間隙比</t>
  </si>
  <si>
    <t/>
  </si>
  <si>
    <t>○</t>
  </si>
  <si>
    <t>地盤状態入力シート</t>
  </si>
  <si>
    <t>プレゼンシート</t>
  </si>
  <si>
    <t>液状化抑制効果計算シート</t>
  </si>
  <si>
    <t>液状化に関連する地盤の情報を入力します。</t>
  </si>
  <si>
    <t>圧密沈下量を計算するための情報を入力し、圧密沈下量を計算します。</t>
  </si>
  <si>
    <t>液状化の抑制効果などを計算します。計算にのみ用い、入力の必要はありません。</t>
  </si>
  <si>
    <t>液状化安全率、地下水位低下の効果などを総合的に表示します。</t>
  </si>
  <si>
    <t>：各シートでは、この色のセルに入力します。</t>
  </si>
  <si>
    <t>調査地点ID</t>
  </si>
  <si>
    <t>項目名</t>
  </si>
  <si>
    <t>メモ等</t>
  </si>
  <si>
    <t>低下後地下水位</t>
  </si>
  <si>
    <t>表土</t>
  </si>
  <si>
    <t>（cm）</t>
  </si>
  <si>
    <t>（cm）</t>
  </si>
  <si>
    <t>礫質土</t>
  </si>
  <si>
    <t>鉛直</t>
  </si>
  <si>
    <t>有効応力</t>
  </si>
  <si>
    <t>水位低下前</t>
  </si>
  <si>
    <t>(kPa)</t>
  </si>
  <si>
    <t>：この色のセルに入力します。</t>
  </si>
  <si>
    <t>国土交通省　　都市局・国土技術政策総合研究所</t>
  </si>
  <si>
    <t>圧密沈下量計算用入力シート</t>
  </si>
  <si>
    <t>○○地区</t>
  </si>
  <si>
    <t>○○地区</t>
  </si>
  <si>
    <t>p(kN/m2)</t>
  </si>
  <si>
    <t>p(kN/m2)</t>
  </si>
  <si>
    <t>p(kN/m2)</t>
  </si>
  <si>
    <t>p(kN/m2)</t>
  </si>
  <si>
    <t>粘性土</t>
  </si>
  <si>
    <t>有</t>
  </si>
  <si>
    <t>×</t>
  </si>
  <si>
    <t>2以上</t>
  </si>
  <si>
    <t>e-logp法</t>
  </si>
  <si>
    <t>注意）　使用する場合はエクセルのマクロを有効にしてください。</t>
  </si>
  <si>
    <t>：この色のセルに入力します。</t>
  </si>
  <si>
    <t>深度</t>
  </si>
  <si>
    <t>空気</t>
  </si>
  <si>
    <t>各層の</t>
  </si>
  <si>
    <t>水平変位量</t>
  </si>
  <si>
    <t>(cm)</t>
  </si>
  <si>
    <t>(cm)</t>
  </si>
  <si>
    <t>200gal, M9</t>
  </si>
  <si>
    <t>350gal, M7.5</t>
  </si>
  <si>
    <t>160gal, M9</t>
  </si>
  <si>
    <t>（％）</t>
  </si>
  <si>
    <t>せん断ひずみ</t>
  </si>
  <si>
    <t>ｍ</t>
  </si>
  <si>
    <t>FC（％）</t>
  </si>
  <si>
    <t>（ｋN/m3）</t>
  </si>
  <si>
    <t>ｍ</t>
  </si>
  <si>
    <t>cm</t>
  </si>
  <si>
    <t>による</t>
  </si>
  <si>
    <t>（m）</t>
  </si>
  <si>
    <t>（ｋN/m3）</t>
  </si>
  <si>
    <t>e0</t>
  </si>
  <si>
    <t>Cc</t>
  </si>
  <si>
    <t>σ'z (kPa)</t>
  </si>
  <si>
    <t>（cm）</t>
  </si>
  <si>
    <t>（cm）</t>
  </si>
  <si>
    <t>p(kN/m2)</t>
  </si>
  <si>
    <t>e</t>
  </si>
  <si>
    <t>（kPa）</t>
  </si>
  <si>
    <t>(kPa)</t>
  </si>
  <si>
    <r>
      <t xml:space="preserve">地域で取り組む地盤の液状化対策のための
</t>
    </r>
    <r>
      <rPr>
        <b/>
        <sz val="20"/>
        <color indexed="9"/>
        <rFont val="ＭＳ Ｐゴシック"/>
        <family val="3"/>
      </rPr>
      <t xml:space="preserve">地下水位低下の効果・影響簡易計算シート
</t>
    </r>
    <r>
      <rPr>
        <b/>
        <sz val="14"/>
        <color indexed="9"/>
        <rFont val="ＭＳ Ｐゴシック"/>
        <family val="3"/>
      </rPr>
      <t>（試行版）</t>
    </r>
  </si>
  <si>
    <t>　この計算シートは、地域ぐるみで行う液状化対策の有力な工法である「地下水位低下工法」について、各地区の地盤調査データと想定する地震規模を入力することによって、地下水位を現状よりどれだけ低下させるかに対応した液状化対策の効果と、この工法の副作用である下部粘土層の圧密沈下の量を、簡単に把握するための支援ツールです。東日本大地震による液状化被災地の自治体における検討の支援を目的に作成しました。
　使い方は、シート名の末尾に「（解説）」と書かれたシートをご覧ください。また、このツールの「例題編」ファイル（別途ダウンロード）を利用すれば、「低下後地下水位」などの数値を任意に変更入力することにより、ツールの機能を確認することができます。
　なお、このツールによる計算結果は、学会等の基準に基づく計算値であり、概括的な予測を目的としています。工法を実際に適用した場合の詳細は、地盤調査の精度、設計・施工管理の方法、地盤状態の経年的な変動及び遭遇する地震波の特性などの影響を受けることになります。</t>
  </si>
  <si>
    <t>液状化</t>
  </si>
  <si>
    <t>危険度</t>
  </si>
  <si>
    <t>（％）</t>
  </si>
  <si>
    <t>区間PL値</t>
  </si>
  <si>
    <t>液状化危険度
PL値</t>
  </si>
  <si>
    <t>PL値</t>
  </si>
  <si>
    <t>液状化指数</t>
  </si>
  <si>
    <t>現状地下水位</t>
  </si>
  <si>
    <t>現状地下水位</t>
  </si>
  <si>
    <t>現状地下水位</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</si>
</sst>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0_ "/>
    <numFmt numFmtId="179" formatCode="0.00_);[Red]\(0.00\)"/>
    <numFmt numFmtId="180" formatCode="0.000_);[Red]\(0.000\)"/>
    <numFmt numFmtId="181" formatCode="0.0"/>
    <numFmt numFmtId="182" formatCode="0_ "/>
    <numFmt numFmtId="183" formatCode="0_);[Red]\(0\)"/>
    <numFmt numFmtId="184" formatCode="&quot;Yes&quot;;&quot;Yes&quot;;&quot;No&quot;"/>
    <numFmt numFmtId="185" formatCode="&quot;True&quot;;&quot;True&quot;;&quot;False&quot;"/>
    <numFmt numFmtId="186" formatCode="&quot;On&quot;;&quot;On&quot;;&quot;Off&quot;"/>
    <numFmt numFmtId="187" formatCode="[$€-2]\ #,##0.00_);[Red]\([$€-2]\ #,##0.00\)"/>
    <numFmt numFmtId="188" formatCode="0.0_);[Red]\(0.0\)"/>
  </numFmts>
  <fonts count="69">
    <font>
      <sz val="11"/>
      <color theme="1"/>
      <name val="Calibri"/>
      <family val="3"/>
    </font>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sz val="9"/>
      <color indexed="8"/>
      <name val="ＭＳ Ｐゴシック"/>
      <family val="3"/>
    </font>
    <font>
      <b/>
      <sz val="9"/>
      <color indexed="8"/>
      <name val="ＭＳ Ｐゴシック"/>
      <family val="3"/>
    </font>
    <font>
      <sz val="9"/>
      <name val="ＭＳ Ｐゴシック"/>
      <family val="3"/>
    </font>
    <font>
      <b/>
      <sz val="12"/>
      <color indexed="8"/>
      <name val="ＭＳ Ｐゴシック"/>
      <family val="3"/>
    </font>
    <font>
      <sz val="11"/>
      <color indexed="10"/>
      <name val="ＭＳ Ｐゴシック"/>
      <family val="3"/>
    </font>
    <font>
      <b/>
      <sz val="9"/>
      <name val="ＭＳ Ｐゴシック"/>
      <family val="3"/>
    </font>
    <font>
      <sz val="11"/>
      <color indexed="9"/>
      <name val="ＭＳ Ｐゴシック"/>
      <family val="3"/>
    </font>
    <font>
      <b/>
      <sz val="12"/>
      <color indexed="9"/>
      <name val="ＭＳ Ｐゴシック"/>
      <family val="3"/>
    </font>
    <font>
      <sz val="10"/>
      <color indexed="8"/>
      <name val="ＭＳ Ｐゴシック"/>
      <family val="3"/>
    </font>
    <font>
      <sz val="8"/>
      <color indexed="8"/>
      <name val="ＭＳ Ｐゴシック"/>
      <family val="3"/>
    </font>
    <font>
      <b/>
      <sz val="10"/>
      <color indexed="8"/>
      <name val="ＭＳ Ｐゴシック"/>
      <family val="3"/>
    </font>
    <font>
      <b/>
      <sz val="20"/>
      <color indexed="9"/>
      <name val="ＭＳ Ｐゴシック"/>
      <family val="3"/>
    </font>
    <font>
      <b/>
      <sz val="14"/>
      <color indexed="9"/>
      <name val="ＭＳ Ｐゴシック"/>
      <family val="3"/>
    </font>
    <font>
      <b/>
      <sz val="11"/>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9"/>
      <color indexed="16"/>
      <name val="ＭＳ Ｐゴシック"/>
      <family val="3"/>
    </font>
    <font>
      <b/>
      <sz val="14"/>
      <color indexed="8"/>
      <name val="ＭＳ Ｐゴシック"/>
      <family val="3"/>
    </font>
    <font>
      <b/>
      <sz val="12"/>
      <color indexed="60"/>
      <name val="ＭＳ Ｐゴシック"/>
      <family val="3"/>
    </font>
    <font>
      <b/>
      <sz val="16"/>
      <color indexed="9"/>
      <name val="ＭＳ Ｐゴシック"/>
      <family val="3"/>
    </font>
    <font>
      <sz val="9"/>
      <color indexed="8"/>
      <name val="Calibri"/>
      <family val="2"/>
    </font>
    <font>
      <sz val="11"/>
      <color indexed="8"/>
      <name val="Calibri"/>
      <family val="2"/>
    </font>
    <font>
      <sz val="11"/>
      <color indexed="16"/>
      <name val="ＭＳ Ｐゴシック"/>
      <family val="3"/>
    </font>
    <font>
      <sz val="11"/>
      <color indexed="16"/>
      <name val="Calibri"/>
      <family val="2"/>
    </font>
    <font>
      <sz val="12"/>
      <color indexed="8"/>
      <name val="ＭＳ Ｐゴシック"/>
      <family val="3"/>
    </font>
    <font>
      <sz val="14"/>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9"/>
      <color theme="5" tint="-0.4999699890613556"/>
      <name val="Calibri"/>
      <family val="3"/>
    </font>
    <font>
      <sz val="11"/>
      <color rgb="FF000000"/>
      <name val="Calibri"/>
      <family val="3"/>
    </font>
    <font>
      <b/>
      <sz val="14"/>
      <color theme="1"/>
      <name val="Calibri"/>
      <family val="3"/>
    </font>
    <font>
      <sz val="9"/>
      <name val="Calibri"/>
      <family val="3"/>
    </font>
    <font>
      <b/>
      <sz val="12"/>
      <color theme="5" tint="-0.24997000396251678"/>
      <name val="Calibri"/>
      <family val="3"/>
    </font>
    <font>
      <b/>
      <sz val="16"/>
      <color theme="0"/>
      <name val="Calibri"/>
      <family val="3"/>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5" tint="-0.24997000396251678"/>
        <bgColor indexed="64"/>
      </patternFill>
    </fill>
    <fill>
      <patternFill patternType="solid">
        <fgColor indexed="60"/>
        <bgColor indexed="64"/>
      </patternFill>
    </fill>
  </fills>
  <borders count="1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color indexed="10"/>
      </top>
      <bottom/>
    </border>
    <border>
      <left/>
      <right/>
      <top/>
      <bottom style="thin"/>
    </border>
    <border>
      <left/>
      <right/>
      <top/>
      <bottom style="thin">
        <color indexed="60"/>
      </bottom>
    </border>
    <border>
      <left/>
      <right/>
      <top style="medium">
        <color indexed="16"/>
      </top>
      <bottom/>
    </border>
    <border>
      <left style="hair"/>
      <right style="hair"/>
      <top/>
      <bottom/>
    </border>
    <border>
      <left style="hair"/>
      <right/>
      <top/>
      <bottom/>
    </border>
    <border>
      <left style="double"/>
      <right style="hair"/>
      <top/>
      <bottom/>
    </border>
    <border>
      <left style="hair"/>
      <right style="double"/>
      <top/>
      <bottom/>
    </border>
    <border>
      <left/>
      <right style="hair"/>
      <top/>
      <bottom/>
    </border>
    <border>
      <left style="hair"/>
      <right style="medium">
        <color indexed="16"/>
      </right>
      <top/>
      <bottom/>
    </border>
    <border>
      <left style="hair"/>
      <right style="hair"/>
      <top/>
      <bottom style="medium">
        <color indexed="60"/>
      </bottom>
    </border>
    <border>
      <left style="hair"/>
      <right style="double"/>
      <top/>
      <bottom style="medium">
        <color indexed="60"/>
      </bottom>
    </border>
    <border>
      <left style="double"/>
      <right style="hair"/>
      <top/>
      <bottom style="medium">
        <color indexed="60"/>
      </bottom>
    </border>
    <border>
      <left/>
      <right style="hair"/>
      <top/>
      <bottom style="medium">
        <color indexed="60"/>
      </bottom>
    </border>
    <border>
      <left style="hair">
        <color indexed="8"/>
      </left>
      <right style="hair">
        <color indexed="8"/>
      </right>
      <top/>
      <bottom/>
    </border>
    <border>
      <left style="hair">
        <color indexed="8"/>
      </left>
      <right/>
      <top/>
      <bottom/>
    </border>
    <border>
      <left style="hair"/>
      <right style="thin">
        <color indexed="60"/>
      </right>
      <top/>
      <bottom/>
    </border>
    <border>
      <left style="hair">
        <color indexed="8"/>
      </left>
      <right style="hair">
        <color indexed="8"/>
      </right>
      <top/>
      <bottom style="thin"/>
    </border>
    <border>
      <left style="hair">
        <color indexed="8"/>
      </left>
      <right/>
      <top/>
      <bottom style="thin"/>
    </border>
    <border>
      <left style="hair"/>
      <right style="thin">
        <color indexed="60"/>
      </right>
      <top/>
      <bottom style="thin"/>
    </border>
    <border>
      <left style="hair">
        <color indexed="8"/>
      </left>
      <right style="hair">
        <color indexed="8"/>
      </right>
      <top/>
      <bottom style="thin">
        <color indexed="60"/>
      </bottom>
    </border>
    <border>
      <left style="hair">
        <color indexed="8"/>
      </left>
      <right/>
      <top/>
      <bottom style="thin">
        <color indexed="60"/>
      </bottom>
    </border>
    <border>
      <left style="medium">
        <color indexed="16"/>
      </left>
      <right style="hair"/>
      <top style="medium">
        <color indexed="16"/>
      </top>
      <bottom/>
    </border>
    <border>
      <left style="hair"/>
      <right style="hair"/>
      <top style="medium">
        <color indexed="16"/>
      </top>
      <bottom/>
    </border>
    <border>
      <left style="hair"/>
      <right/>
      <top style="medium">
        <color indexed="16"/>
      </top>
      <bottom/>
    </border>
    <border>
      <left style="medium">
        <color indexed="16"/>
      </left>
      <right style="hair"/>
      <top/>
      <bottom style="thin"/>
    </border>
    <border>
      <left style="hair"/>
      <right style="hair"/>
      <top/>
      <bottom style="thin"/>
    </border>
    <border>
      <left style="hair"/>
      <right/>
      <top/>
      <bottom style="thin"/>
    </border>
    <border>
      <left style="double"/>
      <right style="hair"/>
      <top/>
      <bottom style="thin"/>
    </border>
    <border>
      <left style="hair"/>
      <right style="double"/>
      <top/>
      <bottom style="thin"/>
    </border>
    <border>
      <left/>
      <right style="hair"/>
      <top/>
      <bottom style="thin"/>
    </border>
    <border>
      <left style="hair"/>
      <right style="medium">
        <color indexed="16"/>
      </right>
      <top/>
      <bottom style="thin"/>
    </border>
    <border>
      <left style="hair"/>
      <right/>
      <top/>
      <bottom style="medium">
        <color indexed="60"/>
      </bottom>
    </border>
    <border>
      <left style="double"/>
      <right style="hair"/>
      <top style="hair"/>
      <bottom/>
    </border>
    <border>
      <left style="hair"/>
      <right style="medium">
        <color indexed="16"/>
      </right>
      <top style="medium">
        <color indexed="16"/>
      </top>
      <bottom/>
    </border>
    <border>
      <left style="hair"/>
      <right/>
      <top/>
      <bottom style="medium">
        <color indexed="16"/>
      </bottom>
    </border>
    <border>
      <left style="thin">
        <color indexed="60"/>
      </left>
      <right style="hair">
        <color indexed="8"/>
      </right>
      <top style="thin">
        <color indexed="60"/>
      </top>
      <bottom/>
    </border>
    <border>
      <left style="thin">
        <color indexed="60"/>
      </left>
      <right style="hair">
        <color indexed="8"/>
      </right>
      <top/>
      <bottom/>
    </border>
    <border>
      <left style="thin">
        <color indexed="60"/>
      </left>
      <right style="hair">
        <color indexed="8"/>
      </right>
      <top/>
      <bottom style="thin"/>
    </border>
    <border>
      <left style="medium">
        <color indexed="16"/>
      </left>
      <right style="hair"/>
      <top/>
      <bottom/>
    </border>
    <border>
      <left style="medium">
        <color indexed="16"/>
      </left>
      <right style="hair"/>
      <top/>
      <bottom style="medium">
        <color indexed="16"/>
      </bottom>
    </border>
    <border>
      <left style="hair"/>
      <right style="hair"/>
      <top/>
      <bottom style="medium">
        <color indexed="16"/>
      </bottom>
    </border>
    <border>
      <left style="double"/>
      <right style="hair"/>
      <top/>
      <bottom style="medium">
        <color indexed="16"/>
      </bottom>
    </border>
    <border>
      <left style="hair"/>
      <right style="medium">
        <color indexed="16"/>
      </right>
      <top/>
      <bottom style="medium">
        <color indexed="16"/>
      </bottom>
    </border>
    <border>
      <left style="medium">
        <color indexed="60"/>
      </left>
      <right style="medium">
        <color indexed="60"/>
      </right>
      <top style="medium">
        <color indexed="60"/>
      </top>
      <bottom/>
    </border>
    <border>
      <left style="medium">
        <color indexed="60"/>
      </left>
      <right style="medium">
        <color indexed="60"/>
      </right>
      <top/>
      <bottom/>
    </border>
    <border>
      <left style="medium">
        <color indexed="60"/>
      </left>
      <right style="medium">
        <color indexed="60"/>
      </right>
      <top/>
      <bottom style="thin"/>
    </border>
    <border>
      <left style="medium">
        <color indexed="60"/>
      </left>
      <right style="medium">
        <color indexed="60"/>
      </right>
      <top/>
      <bottom style="medium">
        <color indexed="60"/>
      </bottom>
    </border>
    <border>
      <left/>
      <right/>
      <top style="medium">
        <color indexed="60"/>
      </top>
      <bottom/>
    </border>
    <border>
      <left/>
      <right style="thin">
        <color indexed="60"/>
      </right>
      <top style="thin">
        <color indexed="60"/>
      </top>
      <bottom/>
    </border>
    <border>
      <left/>
      <right style="thin">
        <color indexed="60"/>
      </right>
      <top/>
      <bottom/>
    </border>
    <border>
      <left/>
      <right style="thin">
        <color indexed="60"/>
      </right>
      <top/>
      <bottom style="thin"/>
    </border>
    <border>
      <left style="hair"/>
      <right style="medium">
        <color theme="5" tint="-0.24993999302387238"/>
      </right>
      <top style="medium">
        <color indexed="16"/>
      </top>
      <bottom/>
    </border>
    <border>
      <left style="hair"/>
      <right style="medium">
        <color theme="5" tint="-0.24993999302387238"/>
      </right>
      <top/>
      <bottom/>
    </border>
    <border>
      <left style="hair"/>
      <right style="medium">
        <color theme="5" tint="-0.24993999302387238"/>
      </right>
      <top/>
      <bottom style="thin"/>
    </border>
    <border>
      <left/>
      <right/>
      <top style="thin"/>
      <bottom style="thin"/>
    </border>
    <border>
      <left/>
      <right style="thick">
        <color theme="5" tint="-0.24993999302387238"/>
      </right>
      <top style="thick">
        <color theme="5" tint="-0.24993999302387238"/>
      </top>
      <bottom style="thin"/>
    </border>
    <border>
      <left/>
      <right style="thick">
        <color theme="5" tint="-0.24993999302387238"/>
      </right>
      <top style="thin"/>
      <bottom style="thick">
        <color theme="5" tint="-0.24993999302387238"/>
      </bottom>
    </border>
    <border>
      <left style="thick">
        <color theme="5" tint="-0.24993999302387238"/>
      </left>
      <right/>
      <top style="thin"/>
      <bottom style="thick">
        <color theme="5" tint="-0.24993999302387238"/>
      </bottom>
    </border>
    <border>
      <left/>
      <right/>
      <top style="thin"/>
      <bottom style="thick">
        <color theme="5" tint="-0.24993999302387238"/>
      </bottom>
    </border>
    <border>
      <left style="thin"/>
      <right style="hair"/>
      <top style="thin"/>
      <bottom style="thin"/>
    </border>
    <border>
      <left style="hair"/>
      <right style="thin"/>
      <top style="thin"/>
      <bottom style="thin"/>
    </border>
    <border>
      <left style="hair"/>
      <right style="medium">
        <color theme="5" tint="-0.24993999302387238"/>
      </right>
      <top style="thin"/>
      <bottom style="thin"/>
    </border>
    <border>
      <left style="medium">
        <color theme="5" tint="-0.24993999302387238"/>
      </left>
      <right>
        <color indexed="63"/>
      </right>
      <top style="thin"/>
      <bottom>
        <color indexed="63"/>
      </bottom>
    </border>
    <border>
      <left style="thin"/>
      <right style="hair"/>
      <top style="thin"/>
      <bottom>
        <color indexed="63"/>
      </bottom>
    </border>
    <border>
      <left style="hair"/>
      <right style="thin"/>
      <top style="thin"/>
      <bottom>
        <color indexed="63"/>
      </bottom>
    </border>
    <border>
      <left style="hair"/>
      <right style="medium">
        <color theme="5" tint="-0.24993999302387238"/>
      </right>
      <top style="thin"/>
      <bottom>
        <color indexed="63"/>
      </bottom>
    </border>
    <border>
      <left style="hair"/>
      <right style="medium">
        <color indexed="16"/>
      </right>
      <top style="thin"/>
      <bottom/>
    </border>
    <border>
      <left style="medium">
        <color theme="5" tint="-0.24993999302387238"/>
      </left>
      <right/>
      <top/>
      <bottom/>
    </border>
    <border>
      <left style="thin"/>
      <right style="hair"/>
      <top>
        <color indexed="63"/>
      </top>
      <bottom>
        <color indexed="63"/>
      </bottom>
    </border>
    <border>
      <left style="hair"/>
      <right style="thin"/>
      <top>
        <color indexed="63"/>
      </top>
      <bottom>
        <color indexed="63"/>
      </bottom>
    </border>
    <border>
      <left style="medium">
        <color theme="5" tint="-0.24993999302387238"/>
      </left>
      <right/>
      <top/>
      <bottom style="medium">
        <color theme="5" tint="-0.24993999302387238"/>
      </bottom>
    </border>
    <border>
      <left style="thin"/>
      <right style="hair"/>
      <top>
        <color indexed="63"/>
      </top>
      <bottom style="medium">
        <color theme="5" tint="-0.24993999302387238"/>
      </bottom>
    </border>
    <border>
      <left style="hair"/>
      <right style="thin"/>
      <top>
        <color indexed="63"/>
      </top>
      <bottom style="medium">
        <color theme="5" tint="-0.24993999302387238"/>
      </bottom>
    </border>
    <border>
      <left style="hair"/>
      <right style="medium">
        <color theme="5" tint="-0.24993999302387238"/>
      </right>
      <top/>
      <bottom style="medium">
        <color theme="5" tint="-0.24993999302387238"/>
      </bottom>
    </border>
    <border>
      <left style="thin">
        <color indexed="60"/>
      </left>
      <right style="hair">
        <color indexed="8"/>
      </right>
      <top/>
      <bottom style="thin">
        <color indexed="60"/>
      </bottom>
    </border>
    <border>
      <left/>
      <right style="thin">
        <color indexed="60"/>
      </right>
      <top/>
      <bottom style="thin">
        <color indexed="60"/>
      </bottom>
    </border>
    <border>
      <left/>
      <right/>
      <top/>
      <bottom style="medium">
        <color theme="5" tint="-0.24993999302387238"/>
      </bottom>
    </border>
    <border>
      <left style="thin"/>
      <right/>
      <top style="thin"/>
      <bottom style="thin"/>
    </border>
    <border>
      <left/>
      <right style="thick">
        <color theme="5" tint="-0.24993999302387238"/>
      </right>
      <top style="thin"/>
      <bottom style="thin"/>
    </border>
    <border>
      <left style="thin"/>
      <right/>
      <top style="thin"/>
      <bottom style="thick">
        <color theme="5" tint="-0.24993999302387238"/>
      </bottom>
    </border>
    <border>
      <left style="medium">
        <color indexed="16"/>
      </left>
      <right style="hair"/>
      <top/>
      <bottom style="hair"/>
    </border>
    <border>
      <left style="hair"/>
      <right style="hair"/>
      <top/>
      <bottom style="hair"/>
    </border>
    <border>
      <left style="hair"/>
      <right/>
      <top/>
      <bottom style="hair"/>
    </border>
    <border>
      <left style="double"/>
      <right style="hair"/>
      <top/>
      <bottom style="hair"/>
    </border>
    <border>
      <left style="hair"/>
      <right style="double"/>
      <top/>
      <bottom style="hair"/>
    </border>
    <border>
      <left style="hair"/>
      <right style="medium">
        <color indexed="16"/>
      </right>
      <top/>
      <bottom style="hair"/>
    </border>
    <border>
      <left style="medium">
        <color theme="5" tint="-0.24993999302387238"/>
      </left>
      <right style="thin"/>
      <top>
        <color indexed="63"/>
      </top>
      <bottom style="thin"/>
    </border>
    <border>
      <left style="medium">
        <color theme="5" tint="-0.24993999302387238"/>
      </left>
      <right style="thin"/>
      <top/>
      <bottom/>
    </border>
    <border>
      <left style="hair"/>
      <right style="medium">
        <color theme="5" tint="-0.24993999302387238"/>
      </right>
      <top/>
      <bottom style="medium">
        <color indexed="16"/>
      </bottom>
    </border>
    <border>
      <left/>
      <right style="hair"/>
      <top/>
      <bottom style="hair"/>
    </border>
    <border>
      <left style="hair">
        <color indexed="8"/>
      </left>
      <right style="hair">
        <color indexed="8"/>
      </right>
      <top>
        <color indexed="63"/>
      </top>
      <bottom style="hair"/>
    </border>
    <border>
      <left style="hair">
        <color indexed="8"/>
      </left>
      <right/>
      <top>
        <color indexed="63"/>
      </top>
      <bottom style="hair"/>
    </border>
    <border>
      <left style="thin">
        <color indexed="60"/>
      </left>
      <right style="hair">
        <color indexed="8"/>
      </right>
      <top>
        <color indexed="63"/>
      </top>
      <bottom style="hair"/>
    </border>
    <border>
      <left style="thick">
        <color theme="5" tint="-0.24993999302387238"/>
      </left>
      <right style="thin"/>
      <top/>
      <bottom/>
    </border>
    <border>
      <left style="thick">
        <color theme="5" tint="-0.24993999302387238"/>
      </left>
      <right style="thin"/>
      <top/>
      <bottom style="thick">
        <color theme="5" tint="-0.24993999302387238"/>
      </bottom>
    </border>
    <border>
      <left style="thin"/>
      <right/>
      <top style="thick">
        <color theme="5" tint="-0.24993999302387238"/>
      </top>
      <bottom style="thin"/>
    </border>
    <border>
      <left/>
      <right/>
      <top style="thick">
        <color theme="5" tint="-0.24993999302387238"/>
      </top>
      <bottom style="thin"/>
    </border>
    <border>
      <left/>
      <right style="thin"/>
      <top style="thick">
        <color theme="5" tint="-0.24993999302387238"/>
      </top>
      <bottom style="thin"/>
    </border>
    <border>
      <left style="hair"/>
      <right style="hair"/>
      <top style="hair"/>
      <bottom/>
    </border>
    <border>
      <left style="hair"/>
      <right style="double"/>
      <top style="hair"/>
      <bottom/>
    </border>
    <border>
      <left style="hair"/>
      <right style="medium">
        <color theme="5" tint="-0.24993999302387238"/>
      </right>
      <top/>
      <bottom style="hair"/>
    </border>
    <border>
      <left style="hair"/>
      <right style="medium">
        <color theme="5" tint="-0.24993999302387238"/>
      </right>
      <top/>
      <bottom style="medium">
        <color indexed="60"/>
      </bottom>
    </border>
    <border>
      <left style="thick">
        <color theme="5" tint="-0.24993999302387238"/>
      </left>
      <right/>
      <top style="thin"/>
      <bottom style="thin"/>
    </border>
    <border>
      <left/>
      <right/>
      <top/>
      <bottom style="medium">
        <color indexed="60"/>
      </bottom>
    </border>
    <border>
      <left>
        <color indexed="63"/>
      </left>
      <right style="hair"/>
      <top style="hair"/>
      <bottom/>
    </border>
    <border>
      <left style="hair"/>
      <right/>
      <top style="hair"/>
      <bottom/>
    </border>
    <border>
      <left style="hair"/>
      <right style="medium">
        <color theme="5" tint="-0.24993999302387238"/>
      </right>
      <top style="hair"/>
      <bottom/>
    </border>
    <border>
      <left style="medium">
        <color rgb="FFC00000"/>
      </left>
      <right/>
      <top/>
      <bottom/>
    </border>
    <border>
      <left style="hair">
        <color indexed="8"/>
      </left>
      <right/>
      <top style="thin">
        <color rgb="FFC00000"/>
      </top>
      <bottom/>
    </border>
    <border>
      <left style="hair"/>
      <right style="hair"/>
      <top style="thin">
        <color rgb="FFC00000"/>
      </top>
      <bottom/>
    </border>
    <border>
      <left style="hair"/>
      <right style="thin">
        <color rgb="FFC00000"/>
      </right>
      <top style="thin">
        <color rgb="FFC00000"/>
      </top>
      <bottom/>
    </border>
    <border>
      <left/>
      <right/>
      <top/>
      <bottom style="medium">
        <color rgb="FFC00000"/>
      </bottom>
    </border>
    <border>
      <left style="double"/>
      <right style="hair"/>
      <top style="thin"/>
      <bottom/>
    </border>
    <border>
      <left style="hair"/>
      <right style="thin">
        <color indexed="60"/>
      </right>
      <top/>
      <bottom style="thin">
        <color rgb="FFC00000"/>
      </bottom>
    </border>
    <border>
      <left/>
      <right/>
      <top/>
      <bottom style="thin">
        <color rgb="FFC00000"/>
      </bottom>
    </border>
    <border>
      <left style="hair"/>
      <right style="double"/>
      <top/>
      <bottom style="medium">
        <color theme="5" tint="-0.24993999302387238"/>
      </bottom>
    </border>
    <border>
      <left style="hair"/>
      <right/>
      <top/>
      <bottom style="medium">
        <color theme="5" tint="-0.24993999302387238"/>
      </bottom>
    </border>
    <border>
      <left/>
      <right/>
      <top/>
      <bottom style="thin">
        <color theme="5" tint="-0.24993999302387238"/>
      </bottom>
    </border>
    <border>
      <left style="thick">
        <color theme="5" tint="-0.24993999302387238"/>
      </left>
      <right>
        <color indexed="63"/>
      </right>
      <top>
        <color indexed="63"/>
      </top>
      <bottom>
        <color indexed="63"/>
      </bottom>
    </border>
    <border>
      <left style="medium">
        <color theme="5" tint="-0.24993999302387238"/>
      </left>
      <right>
        <color indexed="63"/>
      </right>
      <top style="medium">
        <color theme="5" tint="-0.24993999302387238"/>
      </top>
      <bottom style="medium">
        <color theme="5" tint="-0.24993999302387238"/>
      </bottom>
    </border>
    <border>
      <left/>
      <right/>
      <top style="medium">
        <color theme="5" tint="-0.24993999302387238"/>
      </top>
      <bottom style="medium">
        <color theme="5" tint="-0.24993999302387238"/>
      </bottom>
    </border>
    <border>
      <left style="medium">
        <color theme="5" tint="-0.24993999302387238"/>
      </left>
      <right/>
      <top style="medium">
        <color theme="5" tint="-0.24993999302387238"/>
      </top>
      <bottom/>
    </border>
    <border>
      <left/>
      <right/>
      <top style="medium">
        <color theme="5" tint="-0.24993999302387238"/>
      </top>
      <bottom/>
    </border>
    <border>
      <left/>
      <right style="medium">
        <color theme="5" tint="-0.24993999302387238"/>
      </right>
      <top style="medium">
        <color theme="5" tint="-0.24993999302387238"/>
      </top>
      <bottom/>
    </border>
    <border>
      <left>
        <color indexed="63"/>
      </left>
      <right style="medium">
        <color theme="5" tint="-0.24993999302387238"/>
      </right>
      <top>
        <color indexed="63"/>
      </top>
      <bottom>
        <color indexed="63"/>
      </bottom>
    </border>
    <border>
      <left>
        <color indexed="63"/>
      </left>
      <right style="medium">
        <color theme="5" tint="-0.24993999302387238"/>
      </right>
      <top>
        <color indexed="63"/>
      </top>
      <bottom style="medium">
        <color theme="5" tint="-0.24993999302387238"/>
      </bottom>
    </border>
    <border>
      <left>
        <color indexed="63"/>
      </left>
      <right style="medium">
        <color theme="5" tint="-0.24993999302387238"/>
      </right>
      <top style="medium">
        <color theme="5" tint="-0.24993999302387238"/>
      </top>
      <bottom style="medium">
        <color theme="5" tint="-0.24993999302387238"/>
      </bottom>
    </border>
    <border>
      <left style="medium">
        <color theme="5" tint="-0.24993999302387238"/>
      </left>
      <right style="medium">
        <color theme="5" tint="-0.24993999302387238"/>
      </right>
      <top style="medium">
        <color theme="5" tint="-0.24993999302387238"/>
      </top>
      <bottom style="medium">
        <color theme="5" tint="-0.24993999302387238"/>
      </bottom>
    </border>
    <border>
      <left/>
      <right/>
      <top style="thin"/>
      <bottom/>
    </border>
    <border>
      <left/>
      <right/>
      <top style="medium">
        <color indexed="60"/>
      </top>
      <bottom style="medium">
        <color indexed="60"/>
      </bottom>
    </border>
    <border>
      <left style="thick">
        <color theme="5" tint="-0.24993999302387238"/>
      </left>
      <right/>
      <top style="thick">
        <color theme="5" tint="-0.24993999302387238"/>
      </top>
      <bottom style="thin"/>
    </border>
    <border>
      <left style="medium">
        <color theme="5" tint="-0.24993999302387238"/>
      </left>
      <right/>
      <top/>
      <bottom style="thin"/>
    </border>
    <border>
      <left/>
      <right style="medium">
        <color theme="5" tint="-0.24993999302387238"/>
      </right>
      <top/>
      <bottom style="thin"/>
    </border>
    <border>
      <left style="thin"/>
      <right/>
      <top/>
      <bottom style="thin"/>
    </border>
    <border>
      <left/>
      <right style="thin"/>
      <top/>
      <bottom style="thin"/>
    </border>
    <border>
      <left style="medium">
        <color indexed="16"/>
      </left>
      <right/>
      <top style="medium">
        <color indexed="16"/>
      </top>
      <bottom/>
    </border>
    <border>
      <left style="medium">
        <color indexed="16"/>
      </left>
      <right/>
      <top/>
      <bottom/>
    </border>
    <border>
      <left style="medium">
        <color indexed="16"/>
      </left>
      <right/>
      <top/>
      <bottom style="thin"/>
    </border>
    <border>
      <left/>
      <right/>
      <top style="thin">
        <color indexed="60"/>
      </top>
      <bottom style="thin">
        <color indexed="60"/>
      </bottom>
    </border>
    <border>
      <left style="thick">
        <color theme="5" tint="-0.24993999302387238"/>
      </left>
      <right/>
      <top style="thick">
        <color theme="5" tint="-0.24993999302387238"/>
      </top>
      <bottom/>
    </border>
    <border>
      <left/>
      <right/>
      <top style="thick">
        <color theme="5" tint="-0.24993999302387238"/>
      </top>
      <bottom/>
    </border>
    <border>
      <left/>
      <right style="thick">
        <color theme="5" tint="-0.24993999302387238"/>
      </right>
      <top style="thick">
        <color theme="5" tint="-0.24993999302387238"/>
      </top>
      <bottom/>
    </border>
    <border>
      <left style="double"/>
      <right>
        <color indexed="63"/>
      </right>
      <top style="medium">
        <color theme="5" tint="-0.24993999302387238"/>
      </top>
      <bottom style="hair"/>
    </border>
    <border>
      <left>
        <color indexed="63"/>
      </left>
      <right>
        <color indexed="63"/>
      </right>
      <top style="medium">
        <color theme="5" tint="-0.24993999302387238"/>
      </top>
      <bottom style="hair"/>
    </border>
    <border>
      <left>
        <color indexed="63"/>
      </left>
      <right style="medium">
        <color theme="5" tint="-0.24993999302387238"/>
      </right>
      <top style="medium">
        <color theme="5" tint="-0.24993999302387238"/>
      </top>
      <bottom style="hair"/>
    </border>
    <border>
      <left>
        <color indexed="63"/>
      </left>
      <right style="double"/>
      <top style="medium">
        <color theme="5" tint="-0.24993999302387238"/>
      </top>
      <bottom style="hair"/>
    </border>
    <border>
      <left style="double"/>
      <right>
        <color indexed="63"/>
      </right>
      <top style="medium">
        <color rgb="FFC00000"/>
      </top>
      <bottom/>
    </border>
    <border>
      <left/>
      <right/>
      <top style="medium">
        <color rgb="FFC00000"/>
      </top>
      <bottom/>
    </border>
    <border>
      <left>
        <color indexed="63"/>
      </left>
      <right style="double"/>
      <top style="medium">
        <color rgb="FFC00000"/>
      </top>
      <bottom/>
    </border>
    <border>
      <left style="double"/>
      <right>
        <color indexed="63"/>
      </right>
      <top style="medium">
        <color rgb="FFC00000"/>
      </top>
      <bottom style="hair"/>
    </border>
    <border>
      <left>
        <color indexed="63"/>
      </left>
      <right>
        <color indexed="63"/>
      </right>
      <top style="medium">
        <color rgb="FFC00000"/>
      </top>
      <bottom style="hair"/>
    </border>
    <border>
      <left>
        <color indexed="63"/>
      </left>
      <right style="medium">
        <color rgb="FFC00000"/>
      </right>
      <top style="medium">
        <color rgb="FFC00000"/>
      </top>
      <bottom style="hair"/>
    </border>
    <border>
      <left style="thin">
        <color rgb="FFC00000"/>
      </left>
      <right/>
      <top style="thin">
        <color rgb="FFC00000"/>
      </top>
      <bottom style="hair">
        <color indexed="8"/>
      </bottom>
    </border>
    <border>
      <left/>
      <right/>
      <top style="thin">
        <color rgb="FFC00000"/>
      </top>
      <bottom style="hair">
        <color indexed="8"/>
      </bottom>
    </border>
    <border>
      <left/>
      <right style="hair">
        <color indexed="8"/>
      </right>
      <top style="thin">
        <color rgb="FFC00000"/>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right style="hair">
        <color indexed="8"/>
      </right>
      <top style="hair">
        <color indexed="8"/>
      </top>
      <bottom style="hair">
        <color indexed="8"/>
      </bottom>
    </border>
    <border>
      <left>
        <color indexed="63"/>
      </left>
      <right style="double"/>
      <top style="medium">
        <color rgb="FFC00000"/>
      </top>
      <bottom style="hair"/>
    </border>
    <border>
      <left/>
      <right/>
      <top style="thin">
        <color theme="5" tint="-0.24993999302387238"/>
      </top>
      <bottom style="thin">
        <color theme="5" tint="-0.24993999302387238"/>
      </bottom>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2"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674">
    <xf numFmtId="0" fontId="0" fillId="0" borderId="0" xfId="0" applyFont="1" applyAlignment="1">
      <alignment vertical="center"/>
    </xf>
    <xf numFmtId="0" fontId="1" fillId="0" borderId="0" xfId="0" applyFont="1" applyBorder="1" applyAlignment="1" applyProtection="1">
      <alignment vertical="center"/>
      <protection locked="0"/>
    </xf>
    <xf numFmtId="180" fontId="1" fillId="0" borderId="0" xfId="0" applyNumberFormat="1" applyFont="1" applyBorder="1" applyAlignment="1" applyProtection="1">
      <alignment vertical="center"/>
      <protection locked="0"/>
    </xf>
    <xf numFmtId="179" fontId="1" fillId="0" borderId="0" xfId="0" applyNumberFormat="1" applyFont="1" applyBorder="1" applyAlignment="1" applyProtection="1">
      <alignment vertical="center"/>
      <protection locked="0"/>
    </xf>
    <xf numFmtId="0" fontId="1" fillId="0" borderId="10" xfId="0" applyFont="1" applyBorder="1" applyAlignment="1" applyProtection="1">
      <alignment vertical="center"/>
      <protection locked="0"/>
    </xf>
    <xf numFmtId="179" fontId="1" fillId="0" borderId="10" xfId="0" applyNumberFormat="1" applyFont="1" applyBorder="1" applyAlignment="1" applyProtection="1">
      <alignment vertical="center"/>
      <protection locked="0"/>
    </xf>
    <xf numFmtId="180" fontId="1" fillId="0" borderId="10" xfId="0" applyNumberFormat="1" applyFont="1" applyBorder="1" applyAlignment="1" applyProtection="1">
      <alignment vertical="center"/>
      <protection locked="0"/>
    </xf>
    <xf numFmtId="0" fontId="1" fillId="0" borderId="0" xfId="0" applyFont="1" applyAlignment="1" applyProtection="1">
      <alignment vertical="center"/>
      <protection locked="0"/>
    </xf>
    <xf numFmtId="180" fontId="1" fillId="0" borderId="0" xfId="0" applyNumberFormat="1" applyFont="1" applyAlignment="1" applyProtection="1">
      <alignment vertical="center"/>
      <protection locked="0"/>
    </xf>
    <xf numFmtId="0" fontId="8" fillId="0" borderId="0" xfId="0" applyFont="1" applyAlignment="1" applyProtection="1">
      <alignment horizontal="center" vertical="center"/>
      <protection locked="0"/>
    </xf>
    <xf numFmtId="179" fontId="1" fillId="0" borderId="0" xfId="0" applyNumberFormat="1" applyFont="1" applyAlignment="1" applyProtection="1">
      <alignment vertical="center"/>
      <protection locked="0"/>
    </xf>
    <xf numFmtId="0" fontId="1" fillId="0" borderId="0" xfId="0" applyFont="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5" fillId="0" borderId="1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1" fillId="0" borderId="0" xfId="0" applyFont="1" applyBorder="1" applyAlignment="1" applyProtection="1">
      <alignment horizontal="distributed" vertical="center" indent="1"/>
      <protection locked="0"/>
    </xf>
    <xf numFmtId="0" fontId="9" fillId="0" borderId="0" xfId="0" applyFont="1" applyAlignment="1" applyProtection="1">
      <alignment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vertical="center"/>
      <protection locked="0"/>
    </xf>
    <xf numFmtId="0" fontId="11" fillId="0" borderId="0" xfId="0" applyFont="1" applyAlignment="1" applyProtection="1">
      <alignment vertical="center"/>
      <protection locked="0"/>
    </xf>
    <xf numFmtId="0" fontId="1" fillId="0" borderId="12" xfId="0" applyFont="1" applyBorder="1" applyAlignment="1" applyProtection="1">
      <alignment vertical="center"/>
      <protection locked="0"/>
    </xf>
    <xf numFmtId="0" fontId="1" fillId="0" borderId="13" xfId="0" applyFont="1" applyBorder="1" applyAlignment="1" applyProtection="1">
      <alignment vertical="center"/>
      <protection locked="0"/>
    </xf>
    <xf numFmtId="180" fontId="1" fillId="0" borderId="13" xfId="0" applyNumberFormat="1" applyFont="1" applyBorder="1" applyAlignment="1" applyProtection="1">
      <alignment vertical="center"/>
      <protection locked="0"/>
    </xf>
    <xf numFmtId="179" fontId="1" fillId="0" borderId="13" xfId="0" applyNumberFormat="1" applyFont="1" applyBorder="1" applyAlignment="1" applyProtection="1">
      <alignment vertical="center"/>
      <protection locked="0"/>
    </xf>
    <xf numFmtId="179" fontId="1" fillId="0" borderId="14" xfId="0" applyNumberFormat="1" applyFont="1" applyBorder="1" applyAlignment="1" applyProtection="1">
      <alignment horizontal="center" vertical="center"/>
      <protection/>
    </xf>
    <xf numFmtId="179" fontId="1" fillId="0" borderId="14" xfId="0" applyNumberFormat="1" applyFont="1" applyFill="1" applyBorder="1" applyAlignment="1" applyProtection="1">
      <alignment horizontal="center" vertical="center"/>
      <protection/>
    </xf>
    <xf numFmtId="179" fontId="1" fillId="0" borderId="15" xfId="0" applyNumberFormat="1" applyFont="1" applyBorder="1" applyAlignment="1" applyProtection="1">
      <alignment horizontal="center" vertical="center"/>
      <protection/>
    </xf>
    <xf numFmtId="177" fontId="1" fillId="0" borderId="16" xfId="0" applyNumberFormat="1" applyFont="1" applyBorder="1" applyAlignment="1" applyProtection="1">
      <alignment horizontal="center" vertical="center"/>
      <protection/>
    </xf>
    <xf numFmtId="177" fontId="1" fillId="0" borderId="14" xfId="0" applyNumberFormat="1" applyFont="1" applyBorder="1" applyAlignment="1" applyProtection="1">
      <alignment horizontal="center" vertical="center"/>
      <protection/>
    </xf>
    <xf numFmtId="177" fontId="9" fillId="0" borderId="17" xfId="0" applyNumberFormat="1" applyFont="1" applyBorder="1" applyAlignment="1" applyProtection="1">
      <alignment horizontal="center" vertical="center"/>
      <protection/>
    </xf>
    <xf numFmtId="177" fontId="1" fillId="0" borderId="18" xfId="0" applyNumberFormat="1" applyFont="1" applyBorder="1" applyAlignment="1" applyProtection="1">
      <alignment horizontal="center" vertical="center"/>
      <protection/>
    </xf>
    <xf numFmtId="177" fontId="9" fillId="0" borderId="19" xfId="0" applyNumberFormat="1" applyFont="1" applyBorder="1" applyAlignment="1" applyProtection="1">
      <alignment horizontal="center" vertical="center"/>
      <protection/>
    </xf>
    <xf numFmtId="177" fontId="9" fillId="0" borderId="17" xfId="0" applyNumberFormat="1" applyFont="1" applyFill="1" applyBorder="1" applyAlignment="1" applyProtection="1">
      <alignment horizontal="center" vertical="center"/>
      <protection/>
    </xf>
    <xf numFmtId="177" fontId="9" fillId="0" borderId="19" xfId="0" applyNumberFormat="1" applyFont="1" applyFill="1" applyBorder="1" applyAlignment="1" applyProtection="1">
      <alignment horizontal="center" vertical="center"/>
      <protection/>
    </xf>
    <xf numFmtId="179" fontId="1" fillId="0" borderId="20" xfId="0" applyNumberFormat="1" applyFont="1" applyBorder="1" applyAlignment="1" applyProtection="1">
      <alignment horizontal="center" vertical="center"/>
      <protection/>
    </xf>
    <xf numFmtId="179" fontId="1" fillId="0" borderId="20" xfId="0" applyNumberFormat="1" applyFont="1" applyFill="1" applyBorder="1" applyAlignment="1" applyProtection="1">
      <alignment horizontal="center" vertical="center"/>
      <protection/>
    </xf>
    <xf numFmtId="179" fontId="1" fillId="0" borderId="21" xfId="0" applyNumberFormat="1" applyFont="1" applyBorder="1" applyAlignment="1" applyProtection="1">
      <alignment horizontal="center" vertical="center"/>
      <protection/>
    </xf>
    <xf numFmtId="177" fontId="1" fillId="0" borderId="22" xfId="0" applyNumberFormat="1" applyFont="1" applyBorder="1" applyAlignment="1" applyProtection="1">
      <alignment horizontal="center" vertical="center"/>
      <protection/>
    </xf>
    <xf numFmtId="177" fontId="1" fillId="0" borderId="20" xfId="0" applyNumberFormat="1" applyFont="1" applyBorder="1" applyAlignment="1" applyProtection="1">
      <alignment horizontal="center" vertical="center"/>
      <protection/>
    </xf>
    <xf numFmtId="177" fontId="1" fillId="0" borderId="23" xfId="0" applyNumberFormat="1" applyFont="1" applyBorder="1" applyAlignment="1" applyProtection="1">
      <alignment horizontal="center" vertical="center"/>
      <protection/>
    </xf>
    <xf numFmtId="0" fontId="5" fillId="33" borderId="24" xfId="0" applyFont="1" applyFill="1" applyBorder="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5" fillId="33" borderId="26" xfId="0" applyFont="1" applyFill="1" applyBorder="1" applyAlignment="1" applyProtection="1">
      <alignment horizontal="center" vertical="center"/>
      <protection/>
    </xf>
    <xf numFmtId="0" fontId="5" fillId="33" borderId="24" xfId="68" applyFont="1" applyFill="1" applyBorder="1" applyAlignment="1" applyProtection="1">
      <alignment horizontal="center" vertical="center" shrinkToFit="1"/>
      <protection/>
    </xf>
    <xf numFmtId="0" fontId="1" fillId="33" borderId="24" xfId="0" applyFont="1" applyFill="1" applyBorder="1" applyAlignment="1" applyProtection="1">
      <alignment vertical="center"/>
      <protection/>
    </xf>
    <xf numFmtId="0" fontId="1" fillId="33" borderId="25" xfId="0" applyFont="1" applyFill="1" applyBorder="1" applyAlignment="1" applyProtection="1">
      <alignment vertical="center"/>
      <protection/>
    </xf>
    <xf numFmtId="0" fontId="1" fillId="33" borderId="26" xfId="0" applyFont="1" applyFill="1" applyBorder="1" applyAlignment="1" applyProtection="1">
      <alignment vertical="center"/>
      <protection/>
    </xf>
    <xf numFmtId="0" fontId="7" fillId="33" borderId="27" xfId="68" applyFont="1" applyFill="1" applyBorder="1" applyAlignment="1" applyProtection="1">
      <alignment horizontal="center" vertical="center" shrinkToFit="1"/>
      <protection/>
    </xf>
    <xf numFmtId="0" fontId="1" fillId="33" borderId="28" xfId="0" applyFont="1" applyFill="1" applyBorder="1" applyAlignment="1" applyProtection="1">
      <alignment vertical="center"/>
      <protection/>
    </xf>
    <xf numFmtId="0" fontId="1" fillId="33" borderId="29" xfId="0" applyFont="1" applyFill="1" applyBorder="1" applyAlignment="1" applyProtection="1">
      <alignment vertical="center"/>
      <protection/>
    </xf>
    <xf numFmtId="177" fontId="1" fillId="33" borderId="24" xfId="0" applyNumberFormat="1" applyFont="1" applyFill="1" applyBorder="1" applyAlignment="1" applyProtection="1">
      <alignment vertical="center"/>
      <protection/>
    </xf>
    <xf numFmtId="2" fontId="1" fillId="33" borderId="24" xfId="0" applyNumberFormat="1" applyFont="1" applyFill="1" applyBorder="1" applyAlignment="1" applyProtection="1">
      <alignment vertical="center"/>
      <protection/>
    </xf>
    <xf numFmtId="176" fontId="1" fillId="33" borderId="24" xfId="0" applyNumberFormat="1" applyFont="1" applyFill="1" applyBorder="1" applyAlignment="1" applyProtection="1">
      <alignment vertical="center"/>
      <protection/>
    </xf>
    <xf numFmtId="0" fontId="1" fillId="33" borderId="30" xfId="0" applyFont="1" applyFill="1" applyBorder="1" applyAlignment="1" applyProtection="1">
      <alignment vertical="center"/>
      <protection/>
    </xf>
    <xf numFmtId="177" fontId="1" fillId="33" borderId="30" xfId="0" applyNumberFormat="1" applyFont="1" applyFill="1" applyBorder="1" applyAlignment="1" applyProtection="1">
      <alignment vertical="center"/>
      <protection/>
    </xf>
    <xf numFmtId="2" fontId="1" fillId="33" borderId="30" xfId="0" applyNumberFormat="1" applyFont="1" applyFill="1" applyBorder="1" applyAlignment="1" applyProtection="1">
      <alignment vertical="center"/>
      <protection/>
    </xf>
    <xf numFmtId="176" fontId="1" fillId="33" borderId="30" xfId="0" applyNumberFormat="1" applyFont="1" applyFill="1" applyBorder="1" applyAlignment="1" applyProtection="1">
      <alignment vertical="center"/>
      <protection/>
    </xf>
    <xf numFmtId="0" fontId="1" fillId="33" borderId="31" xfId="0" applyFont="1" applyFill="1" applyBorder="1" applyAlignment="1" applyProtection="1">
      <alignment vertical="center"/>
      <protection/>
    </xf>
    <xf numFmtId="0" fontId="5" fillId="0" borderId="32" xfId="0" applyFont="1" applyBorder="1" applyAlignment="1" applyProtection="1">
      <alignment horizontal="center" vertical="center"/>
      <protection/>
    </xf>
    <xf numFmtId="0" fontId="7" fillId="0" borderId="33" xfId="62" applyFont="1" applyFill="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3" xfId="0" applyFont="1" applyBorder="1" applyAlignment="1" applyProtection="1">
      <alignment vertical="center"/>
      <protection/>
    </xf>
    <xf numFmtId="179" fontId="5" fillId="0" borderId="33" xfId="0" applyNumberFormat="1" applyFont="1" applyBorder="1" applyAlignment="1" applyProtection="1">
      <alignment vertical="center"/>
      <protection/>
    </xf>
    <xf numFmtId="0" fontId="5" fillId="0" borderId="34" xfId="0" applyFont="1" applyBorder="1" applyAlignment="1" applyProtection="1">
      <alignment vertical="center"/>
      <protection/>
    </xf>
    <xf numFmtId="0" fontId="7" fillId="0" borderId="14" xfId="62" applyFont="1" applyFill="1" applyBorder="1" applyAlignment="1" applyProtection="1">
      <alignment horizontal="center" vertical="center"/>
      <protection/>
    </xf>
    <xf numFmtId="0" fontId="7" fillId="0" borderId="14" xfId="62" applyFont="1" applyFill="1" applyBorder="1" applyAlignment="1" applyProtection="1">
      <alignment horizontal="center" vertical="center" shrinkToFit="1"/>
      <protection/>
    </xf>
    <xf numFmtId="178" fontId="5" fillId="0" borderId="14" xfId="68" applyNumberFormat="1" applyFont="1" applyFill="1" applyBorder="1" applyAlignment="1" applyProtection="1">
      <alignment horizontal="center" vertical="center"/>
      <protection/>
    </xf>
    <xf numFmtId="0" fontId="5" fillId="0" borderId="14" xfId="0" applyFont="1" applyBorder="1" applyAlignment="1" applyProtection="1">
      <alignment horizontal="center" vertical="center"/>
      <protection/>
    </xf>
    <xf numFmtId="180" fontId="7" fillId="0" borderId="14" xfId="62" applyNumberFormat="1" applyFont="1" applyFill="1" applyBorder="1" applyAlignment="1" applyProtection="1">
      <alignment horizontal="center" vertical="center" shrinkToFit="1"/>
      <protection/>
    </xf>
    <xf numFmtId="179" fontId="5" fillId="0" borderId="14" xfId="0" applyNumberFormat="1"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5" fillId="0" borderId="16" xfId="68" applyFont="1" applyFill="1" applyBorder="1" applyAlignment="1" applyProtection="1">
      <alignment horizontal="center" vertical="center" shrinkToFit="1"/>
      <protection/>
    </xf>
    <xf numFmtId="0" fontId="5" fillId="0" borderId="14" xfId="68" applyFont="1" applyFill="1" applyBorder="1" applyAlignment="1" applyProtection="1">
      <alignment horizontal="center" vertical="center" shrinkToFit="1"/>
      <protection/>
    </xf>
    <xf numFmtId="0" fontId="5" fillId="0" borderId="17" xfId="68" applyFont="1" applyFill="1" applyBorder="1" applyAlignment="1" applyProtection="1">
      <alignment horizontal="center" vertical="center" shrinkToFit="1"/>
      <protection/>
    </xf>
    <xf numFmtId="0" fontId="5" fillId="0" borderId="18" xfId="68" applyFont="1" applyFill="1" applyBorder="1" applyAlignment="1" applyProtection="1">
      <alignment horizontal="center" vertical="center" shrinkToFit="1"/>
      <protection/>
    </xf>
    <xf numFmtId="0" fontId="5" fillId="0" borderId="19" xfId="68" applyFont="1" applyFill="1" applyBorder="1" applyAlignment="1" applyProtection="1">
      <alignment horizontal="center" vertical="center" shrinkToFit="1"/>
      <protection/>
    </xf>
    <xf numFmtId="179" fontId="7" fillId="0" borderId="14" xfId="62" applyNumberFormat="1" applyFont="1" applyFill="1" applyBorder="1" applyAlignment="1" applyProtection="1">
      <alignment horizontal="center" vertical="center"/>
      <protection/>
    </xf>
    <xf numFmtId="0" fontId="7" fillId="0" borderId="15" xfId="62" applyFont="1" applyFill="1" applyBorder="1" applyAlignment="1" applyProtection="1">
      <alignment horizontal="center" vertical="center"/>
      <protection/>
    </xf>
    <xf numFmtId="0" fontId="5" fillId="0" borderId="35" xfId="68" applyFont="1" applyFill="1" applyBorder="1" applyAlignment="1" applyProtection="1">
      <alignment horizontal="center" vertical="center"/>
      <protection/>
    </xf>
    <xf numFmtId="0" fontId="7" fillId="0" borderId="36" xfId="62" applyFont="1" applyFill="1" applyBorder="1" applyAlignment="1" applyProtection="1">
      <alignment horizontal="center" vertical="center"/>
      <protection/>
    </xf>
    <xf numFmtId="178" fontId="5" fillId="0" borderId="36" xfId="68" applyNumberFormat="1" applyFont="1" applyFill="1" applyBorder="1" applyAlignment="1" applyProtection="1">
      <alignment horizontal="center" vertical="center"/>
      <protection/>
    </xf>
    <xf numFmtId="179" fontId="7" fillId="0" borderId="36" xfId="62" applyNumberFormat="1" applyFont="1" applyFill="1" applyBorder="1" applyAlignment="1" applyProtection="1">
      <alignment horizontal="center" vertical="center" shrinkToFit="1"/>
      <protection/>
    </xf>
    <xf numFmtId="0" fontId="7" fillId="0" borderId="36" xfId="62" applyFont="1" applyFill="1" applyBorder="1" applyAlignment="1" applyProtection="1">
      <alignment horizontal="center" vertical="center" shrinkToFit="1"/>
      <protection/>
    </xf>
    <xf numFmtId="180" fontId="7" fillId="0" borderId="36" xfId="62" applyNumberFormat="1" applyFont="1" applyFill="1" applyBorder="1" applyAlignment="1" applyProtection="1">
      <alignment horizontal="center" vertical="center" shrinkToFit="1"/>
      <protection/>
    </xf>
    <xf numFmtId="180" fontId="7" fillId="0" borderId="37" xfId="62" applyNumberFormat="1" applyFont="1" applyFill="1" applyBorder="1" applyAlignment="1" applyProtection="1">
      <alignment horizontal="center" vertical="center" shrinkToFit="1"/>
      <protection/>
    </xf>
    <xf numFmtId="0" fontId="7" fillId="0" borderId="38" xfId="68" applyFont="1" applyFill="1" applyBorder="1" applyAlignment="1" applyProtection="1">
      <alignment horizontal="center" vertical="center" shrinkToFit="1"/>
      <protection/>
    </xf>
    <xf numFmtId="0" fontId="7" fillId="0" borderId="36" xfId="68" applyFont="1" applyFill="1" applyBorder="1" applyAlignment="1" applyProtection="1">
      <alignment horizontal="center" vertical="center" shrinkToFit="1"/>
      <protection/>
    </xf>
    <xf numFmtId="0" fontId="7" fillId="0" borderId="39" xfId="68" applyFont="1" applyFill="1" applyBorder="1" applyAlignment="1" applyProtection="1">
      <alignment horizontal="center" vertical="center" shrinkToFit="1"/>
      <protection/>
    </xf>
    <xf numFmtId="0" fontId="7" fillId="0" borderId="40" xfId="68" applyFont="1" applyFill="1" applyBorder="1" applyAlignment="1" applyProtection="1">
      <alignment horizontal="center" vertical="center" shrinkToFit="1"/>
      <protection/>
    </xf>
    <xf numFmtId="0" fontId="7" fillId="0" borderId="41" xfId="68" applyFont="1" applyFill="1" applyBorder="1" applyAlignment="1" applyProtection="1">
      <alignment horizontal="center" vertical="center" shrinkToFit="1"/>
      <protection/>
    </xf>
    <xf numFmtId="0" fontId="5" fillId="0" borderId="15" xfId="68" applyFont="1" applyFill="1" applyBorder="1" applyAlignment="1" applyProtection="1">
      <alignment horizontal="center" vertical="center" shrinkToFit="1"/>
      <protection/>
    </xf>
    <xf numFmtId="0" fontId="7" fillId="0" borderId="37" xfId="68" applyFont="1" applyFill="1" applyBorder="1" applyAlignment="1" applyProtection="1">
      <alignment horizontal="center" vertical="center" shrinkToFit="1"/>
      <protection/>
    </xf>
    <xf numFmtId="177" fontId="9" fillId="0" borderId="15" xfId="0" applyNumberFormat="1" applyFont="1" applyBorder="1" applyAlignment="1" applyProtection="1">
      <alignment horizontal="center" vertical="center"/>
      <protection/>
    </xf>
    <xf numFmtId="177" fontId="9" fillId="0" borderId="15" xfId="0" applyNumberFormat="1" applyFont="1" applyFill="1" applyBorder="1" applyAlignment="1" applyProtection="1">
      <alignment horizontal="center" vertical="center"/>
      <protection/>
    </xf>
    <xf numFmtId="177" fontId="9" fillId="0" borderId="42" xfId="0" applyNumberFormat="1" applyFont="1" applyBorder="1" applyAlignment="1" applyProtection="1">
      <alignment horizontal="center" vertical="center"/>
      <protection/>
    </xf>
    <xf numFmtId="0" fontId="5" fillId="0" borderId="43" xfId="68" applyFont="1" applyFill="1" applyBorder="1" applyAlignment="1" applyProtection="1">
      <alignment horizontal="center" vertical="center" shrinkToFit="1"/>
      <protection/>
    </xf>
    <xf numFmtId="0" fontId="6" fillId="0" borderId="33" xfId="0" applyFont="1" applyBorder="1" applyAlignment="1" applyProtection="1">
      <alignment vertical="center"/>
      <protection/>
    </xf>
    <xf numFmtId="0" fontId="5" fillId="0" borderId="44" xfId="0" applyFont="1" applyBorder="1" applyAlignment="1" applyProtection="1">
      <alignment horizontal="center" vertical="center" shrinkToFit="1"/>
      <protection/>
    </xf>
    <xf numFmtId="0" fontId="7" fillId="0" borderId="19" xfId="62" applyFont="1" applyFill="1" applyBorder="1" applyAlignment="1" applyProtection="1">
      <alignment horizontal="center" vertical="center" shrinkToFit="1"/>
      <protection/>
    </xf>
    <xf numFmtId="0" fontId="7" fillId="0" borderId="41" xfId="62" applyFont="1" applyFill="1" applyBorder="1" applyAlignment="1" applyProtection="1">
      <alignment horizontal="center" vertical="center" shrinkToFit="1"/>
      <protection/>
    </xf>
    <xf numFmtId="177" fontId="1" fillId="0" borderId="15" xfId="0" applyNumberFormat="1" applyFont="1" applyBorder="1" applyAlignment="1" applyProtection="1">
      <alignment horizontal="center" vertical="center"/>
      <protection/>
    </xf>
    <xf numFmtId="177" fontId="1" fillId="0" borderId="14" xfId="0" applyNumberFormat="1" applyFont="1" applyFill="1" applyBorder="1" applyAlignment="1" applyProtection="1">
      <alignment horizontal="center" vertical="center"/>
      <protection/>
    </xf>
    <xf numFmtId="177" fontId="1" fillId="0" borderId="15" xfId="0" applyNumberFormat="1" applyFont="1" applyFill="1" applyBorder="1" applyAlignment="1" applyProtection="1">
      <alignment horizontal="center" vertical="center"/>
      <protection/>
    </xf>
    <xf numFmtId="177" fontId="1" fillId="0" borderId="45" xfId="0" applyNumberFormat="1" applyFont="1" applyBorder="1" applyAlignment="1" applyProtection="1">
      <alignment horizontal="center" vertical="center"/>
      <protection/>
    </xf>
    <xf numFmtId="179" fontId="5" fillId="33" borderId="46" xfId="0" applyNumberFormat="1" applyFont="1" applyFill="1" applyBorder="1" applyAlignment="1" applyProtection="1">
      <alignment horizontal="center" vertical="center"/>
      <protection/>
    </xf>
    <xf numFmtId="179" fontId="5" fillId="33" borderId="47" xfId="0" applyNumberFormat="1" applyFont="1" applyFill="1" applyBorder="1" applyAlignment="1" applyProtection="1">
      <alignment horizontal="center" vertical="center"/>
      <protection/>
    </xf>
    <xf numFmtId="179" fontId="5" fillId="33" borderId="47" xfId="68" applyNumberFormat="1" applyFont="1" applyFill="1" applyBorder="1" applyAlignment="1" applyProtection="1">
      <alignment horizontal="center" vertical="center" shrinkToFit="1"/>
      <protection/>
    </xf>
    <xf numFmtId="179" fontId="7" fillId="33" borderId="48" xfId="62" applyNumberFormat="1"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locked="0"/>
    </xf>
    <xf numFmtId="0" fontId="1" fillId="0" borderId="0" xfId="0" applyFont="1" applyFill="1" applyBorder="1" applyAlignment="1" applyProtection="1">
      <alignment vertical="center"/>
      <protection locked="0"/>
    </xf>
    <xf numFmtId="0" fontId="6" fillId="0" borderId="34" xfId="0" applyFont="1" applyBorder="1" applyAlignment="1" applyProtection="1">
      <alignment vertical="center"/>
      <protection/>
    </xf>
    <xf numFmtId="178" fontId="5" fillId="0" borderId="15" xfId="68" applyNumberFormat="1" applyFont="1" applyFill="1" applyBorder="1" applyAlignment="1" applyProtection="1">
      <alignment horizontal="center" vertical="center"/>
      <protection/>
    </xf>
    <xf numFmtId="178" fontId="5" fillId="0" borderId="15" xfId="68" applyNumberFormat="1" applyFont="1" applyFill="1" applyBorder="1" applyAlignment="1" applyProtection="1">
      <alignment horizontal="center" vertical="center" shrinkToFit="1"/>
      <protection/>
    </xf>
    <xf numFmtId="178" fontId="5" fillId="0" borderId="37" xfId="68" applyNumberFormat="1" applyFont="1" applyFill="1" applyBorder="1" applyAlignment="1" applyProtection="1">
      <alignment horizontal="center" vertical="center"/>
      <protection/>
    </xf>
    <xf numFmtId="176" fontId="1" fillId="0" borderId="49" xfId="0" applyNumberFormat="1" applyFont="1" applyBorder="1" applyAlignment="1" applyProtection="1">
      <alignment vertical="center"/>
      <protection/>
    </xf>
    <xf numFmtId="0" fontId="1" fillId="0" borderId="14" xfId="0" applyFont="1" applyBorder="1" applyAlignment="1" applyProtection="1">
      <alignment horizontal="center" vertical="center"/>
      <protection/>
    </xf>
    <xf numFmtId="176" fontId="1" fillId="0" borderId="14" xfId="0" applyNumberFormat="1" applyFont="1" applyBorder="1" applyAlignment="1" applyProtection="1">
      <alignment horizontal="center" vertical="center"/>
      <protection/>
    </xf>
    <xf numFmtId="176" fontId="1" fillId="0" borderId="49" xfId="0" applyNumberFormat="1" applyFont="1" applyFill="1" applyBorder="1" applyAlignment="1" applyProtection="1">
      <alignment vertical="center"/>
      <protection/>
    </xf>
    <xf numFmtId="0" fontId="1" fillId="0" borderId="14" xfId="0" applyFont="1" applyFill="1" applyBorder="1" applyAlignment="1" applyProtection="1">
      <alignment horizontal="center" vertical="center"/>
      <protection/>
    </xf>
    <xf numFmtId="176" fontId="1" fillId="0" borderId="14" xfId="0" applyNumberFormat="1" applyFont="1" applyFill="1" applyBorder="1" applyAlignment="1" applyProtection="1">
      <alignment horizontal="center" vertical="center"/>
      <protection/>
    </xf>
    <xf numFmtId="177" fontId="1" fillId="0" borderId="16" xfId="0" applyNumberFormat="1" applyFont="1" applyFill="1" applyBorder="1" applyAlignment="1" applyProtection="1">
      <alignment horizontal="center" vertical="center"/>
      <protection/>
    </xf>
    <xf numFmtId="176" fontId="1" fillId="0" borderId="50" xfId="0" applyNumberFormat="1" applyFont="1" applyBorder="1" applyAlignment="1" applyProtection="1">
      <alignment vertical="center"/>
      <protection/>
    </xf>
    <xf numFmtId="0" fontId="1" fillId="0" borderId="51" xfId="0" applyFont="1" applyBorder="1" applyAlignment="1" applyProtection="1">
      <alignment horizontal="center" vertical="center"/>
      <protection/>
    </xf>
    <xf numFmtId="176" fontId="1" fillId="0" borderId="51" xfId="0" applyNumberFormat="1" applyFont="1" applyBorder="1" applyAlignment="1" applyProtection="1">
      <alignment horizontal="center" vertical="center"/>
      <protection/>
    </xf>
    <xf numFmtId="177" fontId="1" fillId="0" borderId="52" xfId="0" applyNumberFormat="1" applyFont="1" applyBorder="1" applyAlignment="1" applyProtection="1">
      <alignment horizontal="center" vertical="center"/>
      <protection/>
    </xf>
    <xf numFmtId="177" fontId="9" fillId="0" borderId="53" xfId="0" applyNumberFormat="1" applyFont="1" applyBorder="1" applyAlignment="1" applyProtection="1">
      <alignment horizontal="center" vertical="center"/>
      <protection/>
    </xf>
    <xf numFmtId="0" fontId="1" fillId="0" borderId="54" xfId="0" applyFont="1" applyBorder="1" applyAlignment="1" applyProtection="1">
      <alignment horizontal="center" vertical="center"/>
      <protection/>
    </xf>
    <xf numFmtId="178" fontId="5" fillId="0" borderId="55" xfId="68" applyNumberFormat="1" applyFont="1" applyFill="1" applyBorder="1" applyAlignment="1" applyProtection="1">
      <alignment horizontal="center" vertical="center"/>
      <protection/>
    </xf>
    <xf numFmtId="178" fontId="5" fillId="0" borderId="56" xfId="68" applyNumberFormat="1" applyFont="1" applyFill="1" applyBorder="1" applyAlignment="1" applyProtection="1">
      <alignment horizontal="center" vertical="center"/>
      <protection/>
    </xf>
    <xf numFmtId="0" fontId="1" fillId="0" borderId="55" xfId="0" applyFont="1" applyFill="1" applyBorder="1" applyAlignment="1" applyProtection="1">
      <alignment horizontal="center" vertical="center"/>
      <protection/>
    </xf>
    <xf numFmtId="0" fontId="1" fillId="0" borderId="55" xfId="0" applyFont="1" applyFill="1" applyBorder="1" applyAlignment="1" applyProtection="1">
      <alignment horizontal="center" vertical="center"/>
      <protection/>
    </xf>
    <xf numFmtId="0" fontId="1" fillId="0" borderId="57" xfId="0" applyFont="1" applyFill="1" applyBorder="1" applyAlignment="1" applyProtection="1">
      <alignment horizontal="center" vertical="center"/>
      <protection/>
    </xf>
    <xf numFmtId="0" fontId="1" fillId="0" borderId="58" xfId="0" applyFont="1" applyBorder="1" applyAlignment="1" applyProtection="1">
      <alignment vertical="center"/>
      <protection locked="0"/>
    </xf>
    <xf numFmtId="0" fontId="2" fillId="0" borderId="0" xfId="0" applyFont="1" applyAlignment="1" applyProtection="1">
      <alignment vertical="center"/>
      <protection locked="0"/>
    </xf>
    <xf numFmtId="176" fontId="1" fillId="7" borderId="14" xfId="0" applyNumberFormat="1" applyFont="1" applyFill="1" applyBorder="1" applyAlignment="1" applyProtection="1">
      <alignment horizontal="center" vertical="center"/>
      <protection locked="0"/>
    </xf>
    <xf numFmtId="177" fontId="1" fillId="7" borderId="14" xfId="0" applyNumberFormat="1" applyFont="1" applyFill="1" applyBorder="1" applyAlignment="1" applyProtection="1">
      <alignment horizontal="center" vertical="center"/>
      <protection locked="0"/>
    </xf>
    <xf numFmtId="0" fontId="1" fillId="7" borderId="14" xfId="0" applyFont="1" applyFill="1" applyBorder="1" applyAlignment="1" applyProtection="1">
      <alignment horizontal="center" vertical="center"/>
      <protection locked="0"/>
    </xf>
    <xf numFmtId="0" fontId="1" fillId="7" borderId="51" xfId="0" applyFont="1" applyFill="1" applyBorder="1" applyAlignment="1" applyProtection="1">
      <alignment horizontal="center" vertical="center"/>
      <protection locked="0"/>
    </xf>
    <xf numFmtId="176" fontId="1" fillId="7" borderId="51" xfId="0" applyNumberFormat="1" applyFont="1" applyFill="1" applyBorder="1" applyAlignment="1" applyProtection="1">
      <alignment horizontal="center" vertical="center"/>
      <protection locked="0"/>
    </xf>
    <xf numFmtId="177" fontId="1" fillId="7" borderId="51" xfId="0" applyNumberFormat="1" applyFont="1" applyFill="1" applyBorder="1" applyAlignment="1" applyProtection="1">
      <alignment horizontal="center" vertical="center"/>
      <protection locked="0"/>
    </xf>
    <xf numFmtId="179" fontId="5" fillId="33" borderId="59" xfId="0" applyNumberFormat="1" applyFont="1" applyFill="1" applyBorder="1" applyAlignment="1" applyProtection="1">
      <alignment horizontal="center" vertical="center"/>
      <protection/>
    </xf>
    <xf numFmtId="179" fontId="5" fillId="33" borderId="60" xfId="0" applyNumberFormat="1" applyFont="1" applyFill="1" applyBorder="1" applyAlignment="1" applyProtection="1">
      <alignment horizontal="center" vertical="center"/>
      <protection/>
    </xf>
    <xf numFmtId="179" fontId="5" fillId="33" borderId="60" xfId="68" applyNumberFormat="1" applyFont="1" applyFill="1" applyBorder="1" applyAlignment="1" applyProtection="1">
      <alignment horizontal="center" vertical="center" shrinkToFit="1"/>
      <protection/>
    </xf>
    <xf numFmtId="179" fontId="7" fillId="33" borderId="61" xfId="62" applyNumberFormat="1" applyFont="1" applyFill="1" applyBorder="1" applyAlignment="1" applyProtection="1">
      <alignment horizontal="center" vertical="center"/>
      <protection/>
    </xf>
    <xf numFmtId="0" fontId="6" fillId="0" borderId="62" xfId="0" applyFont="1" applyBorder="1" applyAlignment="1" applyProtection="1">
      <alignment vertical="center"/>
      <protection/>
    </xf>
    <xf numFmtId="178" fontId="5" fillId="0" borderId="63" xfId="68" applyNumberFormat="1" applyFont="1" applyFill="1" applyBorder="1" applyAlignment="1" applyProtection="1">
      <alignment horizontal="center" vertical="center"/>
      <protection/>
    </xf>
    <xf numFmtId="178" fontId="5" fillId="0" borderId="64" xfId="68" applyNumberFormat="1" applyFont="1" applyFill="1" applyBorder="1" applyAlignment="1" applyProtection="1">
      <alignment horizontal="center" vertical="center"/>
      <protection/>
    </xf>
    <xf numFmtId="0" fontId="6" fillId="0" borderId="0" xfId="0" applyFont="1" applyBorder="1" applyAlignment="1" applyProtection="1">
      <alignment vertical="center"/>
      <protection/>
    </xf>
    <xf numFmtId="178" fontId="5" fillId="0" borderId="0" xfId="68" applyNumberFormat="1" applyFont="1" applyFill="1" applyBorder="1" applyAlignment="1" applyProtection="1">
      <alignment horizontal="center" vertical="center"/>
      <protection/>
    </xf>
    <xf numFmtId="183" fontId="1" fillId="0" borderId="0" xfId="0" applyNumberFormat="1" applyFont="1" applyBorder="1" applyAlignment="1" applyProtection="1">
      <alignment vertical="center"/>
      <protection locked="0"/>
    </xf>
    <xf numFmtId="183" fontId="1" fillId="0" borderId="0" xfId="0" applyNumberFormat="1" applyFont="1" applyAlignment="1" applyProtection="1">
      <alignment vertical="center"/>
      <protection locked="0"/>
    </xf>
    <xf numFmtId="183" fontId="1" fillId="0" borderId="0" xfId="0" applyNumberFormat="1" applyFont="1" applyBorder="1" applyAlignment="1" applyProtection="1">
      <alignment horizontal="center" vertical="center"/>
      <protection locked="0"/>
    </xf>
    <xf numFmtId="183" fontId="5" fillId="0" borderId="33" xfId="0" applyNumberFormat="1" applyFont="1" applyBorder="1" applyAlignment="1" applyProtection="1">
      <alignment horizontal="center" vertical="center"/>
      <protection/>
    </xf>
    <xf numFmtId="183" fontId="7" fillId="0" borderId="14" xfId="62" applyNumberFormat="1" applyFont="1" applyFill="1" applyBorder="1" applyAlignment="1" applyProtection="1">
      <alignment horizontal="center" vertical="center" shrinkToFit="1"/>
      <protection/>
    </xf>
    <xf numFmtId="183" fontId="7" fillId="0" borderId="36" xfId="62" applyNumberFormat="1" applyFont="1" applyFill="1" applyBorder="1" applyAlignment="1" applyProtection="1">
      <alignment horizontal="center" vertical="center"/>
      <protection/>
    </xf>
    <xf numFmtId="183" fontId="1" fillId="7" borderId="14" xfId="0" applyNumberFormat="1" applyFont="1" applyFill="1" applyBorder="1" applyAlignment="1" applyProtection="1">
      <alignment horizontal="center" vertical="center"/>
      <protection locked="0"/>
    </xf>
    <xf numFmtId="183" fontId="1" fillId="7" borderId="51" xfId="0" applyNumberFormat="1" applyFont="1" applyFill="1" applyBorder="1" applyAlignment="1" applyProtection="1">
      <alignment horizontal="center" vertical="center"/>
      <protection locked="0"/>
    </xf>
    <xf numFmtId="183" fontId="6" fillId="0" borderId="33" xfId="0" applyNumberFormat="1" applyFont="1" applyBorder="1" applyAlignment="1" applyProtection="1">
      <alignment vertical="center"/>
      <protection/>
    </xf>
    <xf numFmtId="183" fontId="5" fillId="0" borderId="14" xfId="68" applyNumberFormat="1" applyFont="1" applyFill="1" applyBorder="1" applyAlignment="1" applyProtection="1">
      <alignment horizontal="center" vertical="center"/>
      <protection/>
    </xf>
    <xf numFmtId="183" fontId="5" fillId="0" borderId="36" xfId="68" applyNumberFormat="1" applyFont="1" applyFill="1" applyBorder="1" applyAlignment="1" applyProtection="1">
      <alignment horizontal="center" vertical="center"/>
      <protection/>
    </xf>
    <xf numFmtId="183" fontId="1" fillId="0" borderId="0" xfId="0" applyNumberFormat="1" applyFont="1" applyBorder="1" applyAlignment="1" applyProtection="1">
      <alignment vertical="center"/>
      <protection locked="0"/>
    </xf>
    <xf numFmtId="183" fontId="1" fillId="0" borderId="13" xfId="0" applyNumberFormat="1" applyFont="1" applyBorder="1" applyAlignment="1" applyProtection="1">
      <alignment vertical="center"/>
      <protection locked="0"/>
    </xf>
    <xf numFmtId="183" fontId="1" fillId="6" borderId="65" xfId="0" applyNumberFormat="1" applyFont="1" applyFill="1" applyBorder="1" applyAlignment="1" applyProtection="1">
      <alignment vertical="center"/>
      <protection/>
    </xf>
    <xf numFmtId="176" fontId="1" fillId="6" borderId="49" xfId="0" applyNumberFormat="1" applyFont="1" applyFill="1" applyBorder="1" applyAlignment="1" applyProtection="1">
      <alignment vertical="center"/>
      <protection/>
    </xf>
    <xf numFmtId="0" fontId="1" fillId="6" borderId="14" xfId="0" applyFont="1" applyFill="1" applyBorder="1" applyAlignment="1" applyProtection="1">
      <alignment horizontal="center" vertical="center"/>
      <protection/>
    </xf>
    <xf numFmtId="176" fontId="1" fillId="6" borderId="14" xfId="0" applyNumberFormat="1" applyFont="1" applyFill="1" applyBorder="1" applyAlignment="1" applyProtection="1">
      <alignment horizontal="center" vertical="center"/>
      <protection/>
    </xf>
    <xf numFmtId="183" fontId="1" fillId="6" borderId="14" xfId="0" applyNumberFormat="1" applyFont="1" applyFill="1" applyBorder="1" applyAlignment="1" applyProtection="1">
      <alignment horizontal="center" vertical="center"/>
      <protection/>
    </xf>
    <xf numFmtId="177" fontId="1" fillId="6" borderId="14" xfId="0" applyNumberFormat="1" applyFont="1" applyFill="1" applyBorder="1" applyAlignment="1" applyProtection="1">
      <alignment horizontal="center" vertical="center"/>
      <protection/>
    </xf>
    <xf numFmtId="176" fontId="1" fillId="6" borderId="50" xfId="0" applyNumberFormat="1" applyFont="1" applyFill="1" applyBorder="1" applyAlignment="1" applyProtection="1">
      <alignment vertical="center"/>
      <protection/>
    </xf>
    <xf numFmtId="0" fontId="1" fillId="6" borderId="20" xfId="0" applyFont="1" applyFill="1" applyBorder="1" applyAlignment="1" applyProtection="1">
      <alignment horizontal="center" vertical="center"/>
      <protection/>
    </xf>
    <xf numFmtId="176" fontId="1" fillId="6" borderId="20" xfId="0" applyNumberFormat="1" applyFont="1" applyFill="1" applyBorder="1" applyAlignment="1" applyProtection="1">
      <alignment horizontal="center" vertical="center"/>
      <protection/>
    </xf>
    <xf numFmtId="183" fontId="1" fillId="6" borderId="20" xfId="0" applyNumberFormat="1" applyFont="1" applyFill="1" applyBorder="1" applyAlignment="1" applyProtection="1">
      <alignment horizontal="center" vertical="center"/>
      <protection/>
    </xf>
    <xf numFmtId="177" fontId="1" fillId="6" borderId="20" xfId="0" applyNumberFormat="1" applyFont="1" applyFill="1" applyBorder="1" applyAlignment="1" applyProtection="1">
      <alignment horizontal="center" vertical="center"/>
      <protection/>
    </xf>
    <xf numFmtId="182" fontId="4" fillId="0" borderId="65" xfId="0" applyNumberFormat="1" applyFont="1" applyFill="1" applyBorder="1" applyAlignment="1" applyProtection="1">
      <alignment vertical="center"/>
      <protection/>
    </xf>
    <xf numFmtId="183" fontId="5" fillId="0" borderId="34" xfId="0" applyNumberFormat="1" applyFont="1" applyBorder="1" applyAlignment="1" applyProtection="1">
      <alignment horizontal="center" vertical="center"/>
      <protection/>
    </xf>
    <xf numFmtId="183" fontId="7" fillId="0" borderId="15" xfId="62" applyNumberFormat="1" applyFont="1" applyFill="1" applyBorder="1" applyAlignment="1" applyProtection="1">
      <alignment horizontal="center" vertical="center" shrinkToFit="1"/>
      <protection/>
    </xf>
    <xf numFmtId="183" fontId="7" fillId="0" borderId="37" xfId="62" applyNumberFormat="1" applyFont="1" applyFill="1" applyBorder="1" applyAlignment="1" applyProtection="1">
      <alignment horizontal="center" vertical="center"/>
      <protection/>
    </xf>
    <xf numFmtId="183" fontId="1" fillId="0" borderId="14" xfId="0" applyNumberFormat="1" applyFont="1" applyBorder="1" applyAlignment="1" applyProtection="1">
      <alignment horizontal="center" vertical="center"/>
      <protection/>
    </xf>
    <xf numFmtId="183" fontId="1" fillId="0" borderId="15" xfId="0" applyNumberFormat="1" applyFont="1" applyBorder="1" applyAlignment="1" applyProtection="1">
      <alignment horizontal="center" vertical="center"/>
      <protection/>
    </xf>
    <xf numFmtId="183" fontId="1" fillId="0" borderId="14" xfId="0" applyNumberFormat="1" applyFont="1" applyFill="1" applyBorder="1" applyAlignment="1" applyProtection="1">
      <alignment horizontal="center" vertical="center"/>
      <protection/>
    </xf>
    <xf numFmtId="183" fontId="1" fillId="0" borderId="51" xfId="0" applyNumberFormat="1" applyFont="1" applyBorder="1" applyAlignment="1" applyProtection="1">
      <alignment horizontal="center" vertical="center"/>
      <protection/>
    </xf>
    <xf numFmtId="183" fontId="1" fillId="0" borderId="45" xfId="0" applyNumberFormat="1" applyFont="1" applyBorder="1" applyAlignment="1" applyProtection="1">
      <alignment horizontal="center" vertical="center"/>
      <protection/>
    </xf>
    <xf numFmtId="183" fontId="1" fillId="0" borderId="58" xfId="0" applyNumberFormat="1" applyFont="1" applyBorder="1" applyAlignment="1" applyProtection="1">
      <alignment vertical="center"/>
      <protection locked="0"/>
    </xf>
    <xf numFmtId="0" fontId="1" fillId="0" borderId="0" xfId="0" applyFont="1" applyAlignment="1" applyProtection="1">
      <alignment vertical="center"/>
      <protection locked="0"/>
    </xf>
    <xf numFmtId="0" fontId="1" fillId="0" borderId="0" xfId="0" applyFont="1" applyBorder="1" applyAlignment="1" applyProtection="1">
      <alignment vertical="center"/>
      <protection locked="0"/>
    </xf>
    <xf numFmtId="178" fontId="1" fillId="0" borderId="0" xfId="0" applyNumberFormat="1" applyFont="1" applyBorder="1" applyAlignment="1" applyProtection="1">
      <alignment horizontal="center" vertical="center"/>
      <protection locked="0"/>
    </xf>
    <xf numFmtId="179" fontId="1" fillId="0" borderId="0" xfId="0" applyNumberFormat="1" applyFont="1" applyAlignment="1" applyProtection="1">
      <alignment vertical="center"/>
      <protection locked="0"/>
    </xf>
    <xf numFmtId="180" fontId="1" fillId="0" borderId="0" xfId="0" applyNumberFormat="1" applyFont="1" applyAlignment="1" applyProtection="1">
      <alignment vertical="center"/>
      <protection locked="0"/>
    </xf>
    <xf numFmtId="0" fontId="1" fillId="0" borderId="0" xfId="0" applyFont="1" applyBorder="1" applyAlignment="1" applyProtection="1">
      <alignment horizontal="center" vertical="center"/>
      <protection locked="0"/>
    </xf>
    <xf numFmtId="178" fontId="1" fillId="0" borderId="0" xfId="0" applyNumberFormat="1"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1" fillId="6" borderId="66" xfId="0" applyFont="1" applyFill="1" applyBorder="1" applyAlignment="1" applyProtection="1">
      <alignment vertical="center"/>
      <protection locked="0"/>
    </xf>
    <xf numFmtId="0" fontId="1" fillId="6" borderId="67" xfId="0" applyFont="1" applyFill="1" applyBorder="1" applyAlignment="1" applyProtection="1">
      <alignment vertical="center"/>
      <protection locked="0"/>
    </xf>
    <xf numFmtId="0" fontId="1" fillId="0" borderId="68" xfId="0" applyFont="1" applyBorder="1" applyAlignment="1" applyProtection="1">
      <alignment horizontal="center" vertical="center"/>
      <protection locked="0"/>
    </xf>
    <xf numFmtId="182" fontId="4" fillId="0" borderId="69" xfId="0" applyNumberFormat="1" applyFont="1" applyBorder="1" applyAlignment="1" applyProtection="1">
      <alignment vertical="center"/>
      <protection locked="0"/>
    </xf>
    <xf numFmtId="0" fontId="1" fillId="0" borderId="67" xfId="0" applyFont="1" applyBorder="1" applyAlignment="1" applyProtection="1">
      <alignment horizontal="center" vertical="center"/>
      <protection locked="0"/>
    </xf>
    <xf numFmtId="0" fontId="1" fillId="0" borderId="11" xfId="0" applyFont="1" applyFill="1" applyBorder="1" applyAlignment="1" applyProtection="1">
      <alignment vertical="center"/>
      <protection locked="0"/>
    </xf>
    <xf numFmtId="0" fontId="1" fillId="0" borderId="0" xfId="0" applyFont="1" applyBorder="1" applyAlignment="1" applyProtection="1">
      <alignment horizontal="center" vertical="center" shrinkToFit="1"/>
      <protection locked="0"/>
    </xf>
    <xf numFmtId="0" fontId="1" fillId="0" borderId="0" xfId="0" applyFont="1" applyBorder="1" applyAlignment="1" applyProtection="1">
      <alignment horizontal="distributed" vertical="center"/>
      <protection locked="0"/>
    </xf>
    <xf numFmtId="0" fontId="1" fillId="0" borderId="0" xfId="0" applyFont="1" applyFill="1" applyBorder="1" applyAlignment="1" applyProtection="1">
      <alignment vertical="center"/>
      <protection locked="0"/>
    </xf>
    <xf numFmtId="0" fontId="1" fillId="0" borderId="0" xfId="0" applyFont="1" applyBorder="1" applyAlignment="1" applyProtection="1">
      <alignment horizontal="distributed" vertical="center" indent="1"/>
      <protection locked="0"/>
    </xf>
    <xf numFmtId="0" fontId="1" fillId="0" borderId="0" xfId="0" applyFont="1" applyBorder="1" applyAlignment="1" applyProtection="1">
      <alignment vertical="center"/>
      <protection locked="0"/>
    </xf>
    <xf numFmtId="0" fontId="5" fillId="0" borderId="34" xfId="0" applyFont="1" applyBorder="1" applyAlignment="1" applyProtection="1">
      <alignment horizontal="center" vertical="center"/>
      <protection/>
    </xf>
    <xf numFmtId="0" fontId="7" fillId="0" borderId="15" xfId="62" applyFont="1" applyFill="1" applyBorder="1" applyAlignment="1" applyProtection="1">
      <alignment horizontal="center" vertical="center" shrinkToFit="1"/>
      <protection/>
    </xf>
    <xf numFmtId="0" fontId="5" fillId="34" borderId="70" xfId="0" applyFont="1" applyFill="1" applyBorder="1" applyAlignment="1" applyProtection="1">
      <alignment horizontal="center" vertical="center"/>
      <protection locked="0"/>
    </xf>
    <xf numFmtId="0" fontId="5" fillId="34" borderId="71" xfId="0" applyFont="1" applyFill="1" applyBorder="1" applyAlignment="1" applyProtection="1">
      <alignment horizontal="center" vertical="center"/>
      <protection locked="0"/>
    </xf>
    <xf numFmtId="0" fontId="5" fillId="34" borderId="72" xfId="0" applyFont="1" applyFill="1" applyBorder="1" applyAlignment="1" applyProtection="1">
      <alignment horizontal="center" vertical="center"/>
      <protection locked="0"/>
    </xf>
    <xf numFmtId="0" fontId="7" fillId="0" borderId="37" xfId="62" applyFont="1" applyFill="1" applyBorder="1" applyAlignment="1" applyProtection="1">
      <alignment horizontal="center" vertical="center" shrinkToFit="1"/>
      <protection/>
    </xf>
    <xf numFmtId="0" fontId="1" fillId="34" borderId="73" xfId="0" applyFont="1" applyFill="1" applyBorder="1" applyAlignment="1" applyProtection="1">
      <alignment horizontal="center" vertical="center"/>
      <protection locked="0"/>
    </xf>
    <xf numFmtId="0" fontId="1" fillId="7" borderId="74" xfId="0" applyFont="1" applyFill="1" applyBorder="1" applyAlignment="1" applyProtection="1">
      <alignment vertical="center"/>
      <protection locked="0"/>
    </xf>
    <xf numFmtId="0" fontId="1" fillId="7" borderId="75" xfId="0" applyFont="1" applyFill="1" applyBorder="1" applyAlignment="1" applyProtection="1">
      <alignment vertical="center"/>
      <protection locked="0"/>
    </xf>
    <xf numFmtId="0" fontId="1" fillId="7" borderId="76" xfId="0" applyFont="1" applyFill="1" applyBorder="1" applyAlignment="1" applyProtection="1">
      <alignment vertical="center"/>
      <protection locked="0"/>
    </xf>
    <xf numFmtId="177" fontId="1" fillId="7" borderId="14" xfId="0" applyNumberFormat="1" applyFont="1" applyFill="1" applyBorder="1" applyAlignment="1" applyProtection="1">
      <alignment horizontal="center" vertical="center"/>
      <protection locked="0"/>
    </xf>
    <xf numFmtId="176" fontId="1" fillId="7" borderId="14" xfId="0" applyNumberFormat="1" applyFont="1" applyFill="1" applyBorder="1" applyAlignment="1" applyProtection="1">
      <alignment horizontal="center" vertical="center"/>
      <protection locked="0"/>
    </xf>
    <xf numFmtId="177" fontId="1" fillId="0" borderId="14" xfId="0" applyNumberFormat="1" applyFont="1" applyBorder="1" applyAlignment="1" applyProtection="1">
      <alignment horizontal="center" vertical="center"/>
      <protection/>
    </xf>
    <xf numFmtId="177" fontId="1" fillId="0" borderId="15" xfId="0" applyNumberFormat="1" applyFont="1" applyBorder="1" applyAlignment="1" applyProtection="1">
      <alignment horizontal="center" vertical="center"/>
      <protection/>
    </xf>
    <xf numFmtId="177" fontId="1" fillId="0" borderId="77" xfId="0" applyNumberFormat="1" applyFont="1" applyBorder="1" applyAlignment="1" applyProtection="1">
      <alignment horizontal="center" vertical="center"/>
      <protection/>
    </xf>
    <xf numFmtId="0" fontId="1" fillId="34" borderId="78" xfId="0" applyFont="1" applyFill="1" applyBorder="1" applyAlignment="1" applyProtection="1">
      <alignment horizontal="center" vertical="center"/>
      <protection locked="0"/>
    </xf>
    <xf numFmtId="0" fontId="1" fillId="7" borderId="79" xfId="0" applyFont="1" applyFill="1" applyBorder="1" applyAlignment="1" applyProtection="1">
      <alignment vertical="center"/>
      <protection locked="0"/>
    </xf>
    <xf numFmtId="0" fontId="1" fillId="7" borderId="80" xfId="0" applyFont="1" applyFill="1" applyBorder="1" applyAlignment="1" applyProtection="1">
      <alignment vertical="center"/>
      <protection locked="0"/>
    </xf>
    <xf numFmtId="0" fontId="1" fillId="7" borderId="63" xfId="0" applyFont="1" applyFill="1" applyBorder="1" applyAlignment="1" applyProtection="1">
      <alignment vertical="center"/>
      <protection locked="0"/>
    </xf>
    <xf numFmtId="179" fontId="1" fillId="33" borderId="47" xfId="0" applyNumberFormat="1" applyFont="1" applyFill="1" applyBorder="1" applyAlignment="1" applyProtection="1">
      <alignment vertical="center"/>
      <protection/>
    </xf>
    <xf numFmtId="179" fontId="1" fillId="33" borderId="60" xfId="0" applyNumberFormat="1" applyFont="1" applyFill="1" applyBorder="1" applyAlignment="1" applyProtection="1">
      <alignment vertical="center"/>
      <protection/>
    </xf>
    <xf numFmtId="177" fontId="1" fillId="0" borderId="19" xfId="0" applyNumberFormat="1" applyFont="1" applyBorder="1" applyAlignment="1" applyProtection="1">
      <alignment horizontal="center" vertical="center"/>
      <protection/>
    </xf>
    <xf numFmtId="177" fontId="1" fillId="0" borderId="14" xfId="0" applyNumberFormat="1" applyFont="1" applyFill="1" applyBorder="1" applyAlignment="1" applyProtection="1">
      <alignment horizontal="center" vertical="center"/>
      <protection/>
    </xf>
    <xf numFmtId="177" fontId="1" fillId="0" borderId="15" xfId="0" applyNumberFormat="1" applyFont="1" applyFill="1" applyBorder="1" applyAlignment="1" applyProtection="1">
      <alignment horizontal="center" vertical="center"/>
      <protection/>
    </xf>
    <xf numFmtId="177" fontId="1" fillId="0" borderId="19" xfId="0" applyNumberFormat="1" applyFont="1" applyFill="1" applyBorder="1" applyAlignment="1" applyProtection="1">
      <alignment horizontal="center" vertical="center"/>
      <protection/>
    </xf>
    <xf numFmtId="0" fontId="1" fillId="34" borderId="81" xfId="0" applyFont="1" applyFill="1" applyBorder="1" applyAlignment="1" applyProtection="1">
      <alignment horizontal="center" vertical="center"/>
      <protection locked="0"/>
    </xf>
    <xf numFmtId="0" fontId="1" fillId="7" borderId="82" xfId="0" applyFont="1" applyFill="1" applyBorder="1" applyAlignment="1" applyProtection="1">
      <alignment vertical="center"/>
      <protection locked="0"/>
    </xf>
    <xf numFmtId="0" fontId="1" fillId="7" borderId="83" xfId="0" applyFont="1" applyFill="1" applyBorder="1" applyAlignment="1" applyProtection="1">
      <alignment vertical="center"/>
      <protection locked="0"/>
    </xf>
    <xf numFmtId="0" fontId="1" fillId="7" borderId="84" xfId="0" applyFont="1" applyFill="1" applyBorder="1" applyAlignment="1" applyProtection="1">
      <alignment vertical="center"/>
      <protection locked="0"/>
    </xf>
    <xf numFmtId="0" fontId="15" fillId="0" borderId="0" xfId="0" applyFont="1" applyAlignment="1" applyProtection="1">
      <alignment vertical="center"/>
      <protection locked="0"/>
    </xf>
    <xf numFmtId="177" fontId="1" fillId="7" borderId="51" xfId="0" applyNumberFormat="1" applyFont="1" applyFill="1" applyBorder="1" applyAlignment="1" applyProtection="1">
      <alignment horizontal="center" vertical="center"/>
      <protection locked="0"/>
    </xf>
    <xf numFmtId="176" fontId="1" fillId="7" borderId="51" xfId="0" applyNumberFormat="1" applyFont="1" applyFill="1" applyBorder="1" applyAlignment="1" applyProtection="1">
      <alignment horizontal="center" vertical="center"/>
      <protection locked="0"/>
    </xf>
    <xf numFmtId="177" fontId="1" fillId="0" borderId="51" xfId="0" applyNumberFormat="1" applyFont="1" applyBorder="1" applyAlignment="1" applyProtection="1">
      <alignment horizontal="center" vertical="center"/>
      <protection/>
    </xf>
    <xf numFmtId="177" fontId="1" fillId="0" borderId="45" xfId="0" applyNumberFormat="1" applyFont="1" applyBorder="1" applyAlignment="1" applyProtection="1">
      <alignment horizontal="center" vertical="center"/>
      <protection/>
    </xf>
    <xf numFmtId="177" fontId="1" fillId="0" borderId="53" xfId="0" applyNumberFormat="1" applyFont="1" applyBorder="1" applyAlignment="1" applyProtection="1">
      <alignment horizontal="center" vertical="center"/>
      <protection/>
    </xf>
    <xf numFmtId="179" fontId="1" fillId="33" borderId="85" xfId="0" applyNumberFormat="1" applyFont="1" applyFill="1" applyBorder="1" applyAlignment="1" applyProtection="1">
      <alignment vertical="center"/>
      <protection/>
    </xf>
    <xf numFmtId="179" fontId="1" fillId="33" borderId="86" xfId="0" applyNumberFormat="1" applyFont="1" applyFill="1" applyBorder="1" applyAlignment="1" applyProtection="1">
      <alignment vertical="center"/>
      <protection/>
    </xf>
    <xf numFmtId="0" fontId="1" fillId="0" borderId="87" xfId="0" applyFont="1" applyBorder="1" applyAlignment="1" applyProtection="1">
      <alignment vertical="center"/>
      <protection locked="0"/>
    </xf>
    <xf numFmtId="0" fontId="1" fillId="0" borderId="87" xfId="0" applyFont="1" applyBorder="1" applyAlignment="1" applyProtection="1">
      <alignment horizontal="center" vertical="center"/>
      <protection locked="0"/>
    </xf>
    <xf numFmtId="178" fontId="1" fillId="0" borderId="87" xfId="0" applyNumberFormat="1" applyFont="1" applyBorder="1" applyAlignment="1" applyProtection="1">
      <alignment horizontal="center" vertical="center"/>
      <protection locked="0"/>
    </xf>
    <xf numFmtId="178" fontId="1" fillId="0" borderId="87" xfId="0" applyNumberFormat="1" applyFont="1" applyBorder="1" applyAlignment="1" applyProtection="1">
      <alignment vertical="center"/>
      <protection locked="0"/>
    </xf>
    <xf numFmtId="179" fontId="1" fillId="0" borderId="12" xfId="0" applyNumberFormat="1" applyFont="1" applyBorder="1" applyAlignment="1" applyProtection="1">
      <alignment vertical="center"/>
      <protection locked="0"/>
    </xf>
    <xf numFmtId="178" fontId="1" fillId="0" borderId="0" xfId="0" applyNumberFormat="1" applyFont="1" applyBorder="1" applyAlignment="1" applyProtection="1">
      <alignment vertical="center"/>
      <protection locked="0"/>
    </xf>
    <xf numFmtId="0" fontId="1" fillId="0" borderId="88" xfId="0" applyFont="1" applyBorder="1" applyAlignment="1" applyProtection="1">
      <alignment vertical="center"/>
      <protection/>
    </xf>
    <xf numFmtId="0" fontId="1" fillId="0" borderId="65" xfId="0" applyFont="1" applyBorder="1" applyAlignment="1" applyProtection="1">
      <alignment vertical="center"/>
      <protection/>
    </xf>
    <xf numFmtId="0" fontId="1" fillId="0" borderId="89" xfId="0" applyFont="1" applyFill="1" applyBorder="1" applyAlignment="1" applyProtection="1">
      <alignment horizontal="center" vertical="center"/>
      <protection/>
    </xf>
    <xf numFmtId="0" fontId="1" fillId="0" borderId="90" xfId="0" applyFont="1" applyBorder="1" applyAlignment="1" applyProtection="1">
      <alignment vertical="center"/>
      <protection/>
    </xf>
    <xf numFmtId="0" fontId="1" fillId="0" borderId="69" xfId="0" applyFont="1" applyBorder="1" applyAlignment="1" applyProtection="1">
      <alignment vertical="center"/>
      <protection/>
    </xf>
    <xf numFmtId="182" fontId="4" fillId="0" borderId="69" xfId="0" applyNumberFormat="1" applyFont="1" applyFill="1" applyBorder="1" applyAlignment="1" applyProtection="1">
      <alignment vertical="center"/>
      <protection/>
    </xf>
    <xf numFmtId="0" fontId="1" fillId="0" borderId="67" xfId="0" applyFont="1" applyFill="1" applyBorder="1" applyAlignment="1" applyProtection="1">
      <alignment horizontal="center" vertical="center"/>
      <protection/>
    </xf>
    <xf numFmtId="176" fontId="1" fillId="0" borderId="91" xfId="0" applyNumberFormat="1" applyFont="1" applyBorder="1" applyAlignment="1" applyProtection="1">
      <alignment vertical="center"/>
      <protection/>
    </xf>
    <xf numFmtId="0" fontId="1" fillId="0" borderId="92" xfId="0" applyFont="1" applyBorder="1" applyAlignment="1" applyProtection="1">
      <alignment horizontal="center" vertical="center"/>
      <protection/>
    </xf>
    <xf numFmtId="176" fontId="1" fillId="0" borderId="92" xfId="0" applyNumberFormat="1" applyFont="1" applyBorder="1" applyAlignment="1" applyProtection="1">
      <alignment horizontal="center" vertical="center"/>
      <protection/>
    </xf>
    <xf numFmtId="183" fontId="1" fillId="0" borderId="92" xfId="0" applyNumberFormat="1" applyFont="1" applyBorder="1" applyAlignment="1" applyProtection="1">
      <alignment horizontal="center" vertical="center"/>
      <protection/>
    </xf>
    <xf numFmtId="183" fontId="1" fillId="0" borderId="93" xfId="0" applyNumberFormat="1" applyFont="1" applyBorder="1" applyAlignment="1" applyProtection="1">
      <alignment horizontal="center" vertical="center"/>
      <protection/>
    </xf>
    <xf numFmtId="177" fontId="1" fillId="0" borderId="93" xfId="0" applyNumberFormat="1" applyFont="1" applyBorder="1" applyAlignment="1" applyProtection="1">
      <alignment horizontal="center" vertical="center"/>
      <protection/>
    </xf>
    <xf numFmtId="177" fontId="1" fillId="0" borderId="94" xfId="0" applyNumberFormat="1" applyFont="1" applyBorder="1" applyAlignment="1" applyProtection="1">
      <alignment horizontal="center" vertical="center"/>
      <protection/>
    </xf>
    <xf numFmtId="177" fontId="9" fillId="0" borderId="95" xfId="0" applyNumberFormat="1" applyFont="1" applyBorder="1" applyAlignment="1" applyProtection="1">
      <alignment horizontal="center" vertical="center"/>
      <protection/>
    </xf>
    <xf numFmtId="177" fontId="1" fillId="0" borderId="92" xfId="0" applyNumberFormat="1" applyFont="1" applyBorder="1" applyAlignment="1" applyProtection="1">
      <alignment horizontal="center" vertical="center"/>
      <protection/>
    </xf>
    <xf numFmtId="177" fontId="9" fillId="0" borderId="93" xfId="0" applyNumberFormat="1" applyFont="1" applyBorder="1" applyAlignment="1" applyProtection="1">
      <alignment horizontal="center" vertical="center"/>
      <protection/>
    </xf>
    <xf numFmtId="177" fontId="9" fillId="0" borderId="96" xfId="0" applyNumberFormat="1" applyFont="1" applyBorder="1" applyAlignment="1" applyProtection="1">
      <alignment horizontal="center" vertical="center"/>
      <protection/>
    </xf>
    <xf numFmtId="0" fontId="5" fillId="34" borderId="97" xfId="0" applyFont="1" applyFill="1" applyBorder="1" applyAlignment="1" applyProtection="1">
      <alignment horizontal="center" vertical="center"/>
      <protection locked="0"/>
    </xf>
    <xf numFmtId="0" fontId="5" fillId="34" borderId="98" xfId="0" applyFont="1" applyFill="1" applyBorder="1" applyAlignment="1" applyProtection="1">
      <alignment horizontal="center" vertical="center"/>
      <protection locked="0"/>
    </xf>
    <xf numFmtId="181" fontId="1" fillId="7" borderId="49" xfId="0" applyNumberFormat="1" applyFont="1" applyFill="1" applyBorder="1" applyAlignment="1" applyProtection="1">
      <alignment horizontal="center" vertical="center"/>
      <protection/>
    </xf>
    <xf numFmtId="181" fontId="1" fillId="7" borderId="50" xfId="0" applyNumberFormat="1" applyFont="1" applyFill="1" applyBorder="1" applyAlignment="1" applyProtection="1">
      <alignment horizontal="center" vertical="center"/>
      <protection/>
    </xf>
    <xf numFmtId="0" fontId="56" fillId="0" borderId="0" xfId="0" applyFont="1" applyAlignment="1">
      <alignment vertical="center"/>
    </xf>
    <xf numFmtId="0" fontId="0" fillId="7" borderId="0" xfId="0" applyFill="1" applyAlignment="1">
      <alignment vertical="center"/>
    </xf>
    <xf numFmtId="0" fontId="62" fillId="0" borderId="0" xfId="0" applyFont="1" applyAlignment="1">
      <alignment vertical="center"/>
    </xf>
    <xf numFmtId="0" fontId="63" fillId="0" borderId="0" xfId="0" applyFont="1" applyAlignment="1">
      <alignment horizontal="left" vertical="center"/>
    </xf>
    <xf numFmtId="176" fontId="1" fillId="0" borderId="14" xfId="0" applyNumberFormat="1" applyFont="1" applyFill="1" applyBorder="1" applyAlignment="1" applyProtection="1">
      <alignment horizontal="center" vertical="center"/>
      <protection locked="0"/>
    </xf>
    <xf numFmtId="176" fontId="1" fillId="0" borderId="51" xfId="0" applyNumberFormat="1" applyFont="1" applyFill="1" applyBorder="1" applyAlignment="1" applyProtection="1">
      <alignment horizontal="center" vertical="center"/>
      <protection locked="0"/>
    </xf>
    <xf numFmtId="0" fontId="1" fillId="0" borderId="65" xfId="0" applyFont="1" applyBorder="1" applyAlignment="1" applyProtection="1">
      <alignment horizontal="center" vertical="center"/>
      <protection/>
    </xf>
    <xf numFmtId="11" fontId="1" fillId="0" borderId="63" xfId="0" applyNumberFormat="1" applyFont="1" applyFill="1" applyBorder="1" applyAlignment="1" applyProtection="1">
      <alignment horizontal="center" vertical="center"/>
      <protection/>
    </xf>
    <xf numFmtId="11" fontId="1" fillId="0" borderId="63" xfId="0" applyNumberFormat="1" applyFont="1" applyFill="1" applyBorder="1" applyAlignment="1" applyProtection="1">
      <alignment horizontal="center" vertical="center"/>
      <protection/>
    </xf>
    <xf numFmtId="11" fontId="1" fillId="0" borderId="96" xfId="0" applyNumberFormat="1" applyFont="1" applyFill="1" applyBorder="1" applyAlignment="1" applyProtection="1">
      <alignment horizontal="center" vertical="center"/>
      <protection/>
    </xf>
    <xf numFmtId="11" fontId="1" fillId="0" borderId="63" xfId="0" applyNumberFormat="1" applyFont="1" applyFill="1" applyBorder="1" applyAlignment="1" applyProtection="1">
      <alignment horizontal="center" vertical="center"/>
      <protection/>
    </xf>
    <xf numFmtId="11" fontId="1" fillId="0" borderId="99" xfId="0" applyNumberFormat="1" applyFont="1" applyFill="1" applyBorder="1" applyAlignment="1" applyProtection="1">
      <alignment horizontal="center" vertical="center"/>
      <protection/>
    </xf>
    <xf numFmtId="176" fontId="1" fillId="6" borderId="91" xfId="0" applyNumberFormat="1" applyFont="1" applyFill="1" applyBorder="1" applyAlignment="1" applyProtection="1">
      <alignment vertical="center"/>
      <protection/>
    </xf>
    <xf numFmtId="0" fontId="1" fillId="6" borderId="92" xfId="0" applyFont="1" applyFill="1" applyBorder="1" applyAlignment="1" applyProtection="1">
      <alignment horizontal="center" vertical="center"/>
      <protection/>
    </xf>
    <xf numFmtId="176" fontId="1" fillId="6" borderId="92" xfId="0" applyNumberFormat="1" applyFont="1" applyFill="1" applyBorder="1" applyAlignment="1" applyProtection="1">
      <alignment horizontal="center" vertical="center"/>
      <protection/>
    </xf>
    <xf numFmtId="183" fontId="1" fillId="6" borderId="92" xfId="0" applyNumberFormat="1" applyFont="1" applyFill="1" applyBorder="1" applyAlignment="1" applyProtection="1">
      <alignment horizontal="center" vertical="center"/>
      <protection/>
    </xf>
    <xf numFmtId="177" fontId="1" fillId="6" borderId="92" xfId="0" applyNumberFormat="1" applyFont="1" applyFill="1" applyBorder="1" applyAlignment="1" applyProtection="1">
      <alignment horizontal="center" vertical="center"/>
      <protection/>
    </xf>
    <xf numFmtId="179" fontId="1" fillId="0" borderId="92" xfId="0" applyNumberFormat="1" applyFont="1" applyBorder="1" applyAlignment="1" applyProtection="1">
      <alignment horizontal="center" vertical="center"/>
      <protection/>
    </xf>
    <xf numFmtId="179" fontId="1" fillId="0" borderId="92" xfId="0" applyNumberFormat="1" applyFont="1" applyFill="1" applyBorder="1" applyAlignment="1" applyProtection="1">
      <alignment horizontal="center" vertical="center"/>
      <protection/>
    </xf>
    <xf numFmtId="179" fontId="1" fillId="0" borderId="93" xfId="0" applyNumberFormat="1" applyFont="1" applyBorder="1" applyAlignment="1" applyProtection="1">
      <alignment horizontal="center" vertical="center"/>
      <protection/>
    </xf>
    <xf numFmtId="177" fontId="1" fillId="0" borderId="100" xfId="0" applyNumberFormat="1" applyFont="1" applyBorder="1" applyAlignment="1" applyProtection="1">
      <alignment horizontal="center" vertical="center"/>
      <protection/>
    </xf>
    <xf numFmtId="179" fontId="1" fillId="0" borderId="95" xfId="0" applyNumberFormat="1" applyFont="1" applyBorder="1" applyAlignment="1" applyProtection="1">
      <alignment horizontal="center" vertical="center"/>
      <protection/>
    </xf>
    <xf numFmtId="0" fontId="1" fillId="33" borderId="101" xfId="0" applyFont="1" applyFill="1" applyBorder="1" applyAlignment="1" applyProtection="1">
      <alignment vertical="center"/>
      <protection/>
    </xf>
    <xf numFmtId="177" fontId="1" fillId="33" borderId="101" xfId="0" applyNumberFormat="1" applyFont="1" applyFill="1" applyBorder="1" applyAlignment="1" applyProtection="1">
      <alignment vertical="center"/>
      <protection/>
    </xf>
    <xf numFmtId="2" fontId="1" fillId="33" borderId="101" xfId="0" applyNumberFormat="1" applyFont="1" applyFill="1" applyBorder="1" applyAlignment="1" applyProtection="1">
      <alignment vertical="center"/>
      <protection/>
    </xf>
    <xf numFmtId="176" fontId="1" fillId="33" borderId="101" xfId="0" applyNumberFormat="1" applyFont="1" applyFill="1" applyBorder="1" applyAlignment="1" applyProtection="1">
      <alignment vertical="center"/>
      <protection/>
    </xf>
    <xf numFmtId="0" fontId="1" fillId="33" borderId="102" xfId="0" applyFont="1" applyFill="1" applyBorder="1" applyAlignment="1" applyProtection="1">
      <alignment vertical="center"/>
      <protection/>
    </xf>
    <xf numFmtId="0" fontId="5" fillId="33" borderId="47" xfId="0" applyFont="1" applyFill="1" applyBorder="1" applyAlignment="1" applyProtection="1">
      <alignment horizontal="center" vertical="center"/>
      <protection/>
    </xf>
    <xf numFmtId="0" fontId="5" fillId="33" borderId="48" xfId="0" applyFont="1" applyFill="1" applyBorder="1" applyAlignment="1" applyProtection="1">
      <alignment horizontal="center" vertical="center"/>
      <protection/>
    </xf>
    <xf numFmtId="0" fontId="1" fillId="33" borderId="47" xfId="0" applyFont="1" applyFill="1" applyBorder="1" applyAlignment="1" applyProtection="1">
      <alignment vertical="center"/>
      <protection/>
    </xf>
    <xf numFmtId="0" fontId="1" fillId="33" borderId="103" xfId="0" applyFont="1" applyFill="1" applyBorder="1" applyAlignment="1" applyProtection="1">
      <alignment vertical="center"/>
      <protection/>
    </xf>
    <xf numFmtId="0" fontId="1" fillId="33" borderId="85" xfId="0" applyFont="1" applyFill="1" applyBorder="1" applyAlignment="1" applyProtection="1">
      <alignment vertical="center"/>
      <protection/>
    </xf>
    <xf numFmtId="0" fontId="1" fillId="0" borderId="104" xfId="0" applyFont="1" applyBorder="1" applyAlignment="1" applyProtection="1">
      <alignment vertical="center"/>
      <protection/>
    </xf>
    <xf numFmtId="0" fontId="4" fillId="0" borderId="104" xfId="0" applyFont="1" applyBorder="1" applyAlignment="1" applyProtection="1">
      <alignment horizontal="center" vertical="center"/>
      <protection/>
    </xf>
    <xf numFmtId="0" fontId="1" fillId="0" borderId="105" xfId="0" applyFont="1" applyBorder="1" applyAlignment="1" applyProtection="1">
      <alignment vertical="center"/>
      <protection/>
    </xf>
    <xf numFmtId="182" fontId="4" fillId="0" borderId="69" xfId="0" applyNumberFormat="1" applyFont="1" applyBorder="1" applyAlignment="1" applyProtection="1">
      <alignment vertical="center"/>
      <protection/>
    </xf>
    <xf numFmtId="0" fontId="1" fillId="0" borderId="67" xfId="0" applyFont="1" applyBorder="1" applyAlignment="1" applyProtection="1">
      <alignment horizontal="center" vertical="center"/>
      <protection/>
    </xf>
    <xf numFmtId="0" fontId="1" fillId="33" borderId="27" xfId="0" applyFont="1" applyFill="1" applyBorder="1" applyAlignment="1" applyProtection="1">
      <alignment vertical="center"/>
      <protection/>
    </xf>
    <xf numFmtId="177" fontId="1" fillId="7" borderId="14" xfId="0" applyNumberFormat="1" applyFont="1" applyFill="1" applyBorder="1" applyAlignment="1" applyProtection="1" quotePrefix="1">
      <alignment horizontal="center" vertical="center"/>
      <protection locked="0"/>
    </xf>
    <xf numFmtId="177" fontId="1" fillId="7" borderId="51" xfId="0" applyNumberFormat="1" applyFont="1" applyFill="1" applyBorder="1" applyAlignment="1" applyProtection="1" quotePrefix="1">
      <alignment horizontal="center" vertical="center"/>
      <protection locked="0"/>
    </xf>
    <xf numFmtId="182" fontId="1" fillId="7" borderId="14" xfId="0" applyNumberFormat="1" applyFont="1" applyFill="1" applyBorder="1" applyAlignment="1" applyProtection="1">
      <alignment horizontal="center" vertical="center"/>
      <protection locked="0"/>
    </xf>
    <xf numFmtId="182" fontId="1" fillId="7" borderId="51" xfId="0" applyNumberFormat="1" applyFont="1" applyFill="1" applyBorder="1" applyAlignment="1" applyProtection="1">
      <alignment horizontal="center" vertical="center"/>
      <protection locked="0"/>
    </xf>
    <xf numFmtId="0" fontId="5" fillId="0" borderId="11" xfId="0" applyFont="1" applyFill="1" applyBorder="1" applyAlignment="1" applyProtection="1">
      <alignment vertical="center"/>
      <protection locked="0"/>
    </xf>
    <xf numFmtId="0" fontId="1" fillId="0" borderId="68" xfId="0" applyFont="1" applyBorder="1" applyAlignment="1" applyProtection="1">
      <alignment horizontal="center" vertical="center"/>
      <protection/>
    </xf>
    <xf numFmtId="0" fontId="13" fillId="0" borderId="106" xfId="0" applyFont="1" applyBorder="1" applyAlignment="1" applyProtection="1">
      <alignment horizontal="center" vertical="center"/>
      <protection/>
    </xf>
    <xf numFmtId="182" fontId="4" fillId="0" borderId="107" xfId="0" applyNumberFormat="1" applyFont="1" applyBorder="1" applyAlignment="1" applyProtection="1">
      <alignment vertical="center"/>
      <protection/>
    </xf>
    <xf numFmtId="0" fontId="1" fillId="0" borderId="108" xfId="0" applyFont="1" applyBorder="1" applyAlignment="1" applyProtection="1">
      <alignment horizontal="center" vertical="center"/>
      <protection/>
    </xf>
    <xf numFmtId="0" fontId="1" fillId="0" borderId="106" xfId="0" applyFont="1" applyBorder="1" applyAlignment="1" applyProtection="1">
      <alignment horizontal="center" vertical="center"/>
      <protection locked="0"/>
    </xf>
    <xf numFmtId="182" fontId="4" fillId="0" borderId="107" xfId="0" applyNumberFormat="1" applyFont="1" applyBorder="1" applyAlignment="1" applyProtection="1">
      <alignment vertical="center"/>
      <protection locked="0"/>
    </xf>
    <xf numFmtId="0" fontId="1" fillId="0" borderId="108" xfId="0" applyFont="1" applyBorder="1" applyAlignment="1" applyProtection="1">
      <alignment horizontal="center" vertical="center"/>
      <protection locked="0"/>
    </xf>
    <xf numFmtId="0" fontId="5" fillId="0" borderId="109" xfId="68" applyFont="1" applyFill="1" applyBorder="1" applyAlignment="1" applyProtection="1">
      <alignment horizontal="center" vertical="center" shrinkToFit="1"/>
      <protection/>
    </xf>
    <xf numFmtId="177" fontId="9" fillId="0" borderId="14" xfId="0" applyNumberFormat="1" applyFont="1" applyBorder="1" applyAlignment="1" applyProtection="1">
      <alignment horizontal="center" vertical="center"/>
      <protection/>
    </xf>
    <xf numFmtId="177" fontId="9" fillId="0" borderId="14" xfId="0" applyNumberFormat="1" applyFont="1" applyFill="1" applyBorder="1" applyAlignment="1" applyProtection="1">
      <alignment horizontal="center" vertical="center"/>
      <protection/>
    </xf>
    <xf numFmtId="177" fontId="9" fillId="0" borderId="92" xfId="0" applyNumberFormat="1" applyFont="1" applyBorder="1" applyAlignment="1" applyProtection="1">
      <alignment horizontal="center" vertical="center"/>
      <protection/>
    </xf>
    <xf numFmtId="177" fontId="9" fillId="0" borderId="20" xfId="0" applyNumberFormat="1" applyFont="1" applyBorder="1" applyAlignment="1" applyProtection="1">
      <alignment horizontal="center" vertical="center"/>
      <protection/>
    </xf>
    <xf numFmtId="0" fontId="5" fillId="0" borderId="110" xfId="68" applyFont="1" applyFill="1" applyBorder="1" applyAlignment="1" applyProtection="1">
      <alignment horizontal="center" vertical="center" shrinkToFit="1"/>
      <protection/>
    </xf>
    <xf numFmtId="177" fontId="1" fillId="0" borderId="17" xfId="0" applyNumberFormat="1" applyFont="1" applyBorder="1" applyAlignment="1" applyProtection="1">
      <alignment horizontal="center" vertical="center"/>
      <protection/>
    </xf>
    <xf numFmtId="177" fontId="1" fillId="0" borderId="95" xfId="0" applyNumberFormat="1" applyFont="1" applyBorder="1" applyAlignment="1" applyProtection="1">
      <alignment horizontal="center" vertical="center"/>
      <protection/>
    </xf>
    <xf numFmtId="177" fontId="1" fillId="0" borderId="21" xfId="0" applyNumberFormat="1" applyFont="1" applyBorder="1" applyAlignment="1" applyProtection="1">
      <alignment horizontal="center" vertical="center"/>
      <protection/>
    </xf>
    <xf numFmtId="0" fontId="5" fillId="0" borderId="63" xfId="68" applyFont="1" applyFill="1" applyBorder="1" applyAlignment="1" applyProtection="1">
      <alignment horizontal="center" vertical="center" shrinkToFit="1"/>
      <protection/>
    </xf>
    <xf numFmtId="0" fontId="7" fillId="0" borderId="64" xfId="68" applyFont="1" applyFill="1" applyBorder="1" applyAlignment="1" applyProtection="1">
      <alignment horizontal="center" vertical="center" shrinkToFit="1"/>
      <protection/>
    </xf>
    <xf numFmtId="177" fontId="1" fillId="0" borderId="63" xfId="0" applyNumberFormat="1" applyFont="1" applyBorder="1" applyAlignment="1" applyProtection="1">
      <alignment horizontal="center" vertical="center"/>
      <protection/>
    </xf>
    <xf numFmtId="177" fontId="1" fillId="0" borderId="111" xfId="0" applyNumberFormat="1" applyFont="1" applyBorder="1" applyAlignment="1" applyProtection="1">
      <alignment horizontal="center" vertical="center"/>
      <protection/>
    </xf>
    <xf numFmtId="177" fontId="1" fillId="0" borderId="112" xfId="0" applyNumberFormat="1" applyFont="1" applyBorder="1" applyAlignment="1" applyProtection="1">
      <alignment horizontal="center" vertical="center"/>
      <protection/>
    </xf>
    <xf numFmtId="0" fontId="5" fillId="0" borderId="33" xfId="0" applyFont="1" applyBorder="1" applyAlignment="1" applyProtection="1">
      <alignment horizontal="center" vertical="center" shrinkToFit="1"/>
      <protection/>
    </xf>
    <xf numFmtId="0" fontId="64" fillId="0" borderId="0" xfId="0" applyFont="1" applyAlignment="1">
      <alignment horizontal="center" vertical="center"/>
    </xf>
    <xf numFmtId="178" fontId="5" fillId="0" borderId="55" xfId="68" applyNumberFormat="1" applyFont="1" applyFill="1" applyBorder="1" applyAlignment="1" applyProtection="1">
      <alignment horizontal="center" vertical="center" shrinkToFit="1"/>
      <protection/>
    </xf>
    <xf numFmtId="188" fontId="1" fillId="0" borderId="0" xfId="0" applyNumberFormat="1" applyFont="1" applyBorder="1" applyAlignment="1" applyProtection="1">
      <alignment vertical="center"/>
      <protection locked="0"/>
    </xf>
    <xf numFmtId="188" fontId="1" fillId="0" borderId="0" xfId="0" applyNumberFormat="1" applyFont="1" applyAlignment="1" applyProtection="1">
      <alignment vertical="center"/>
      <protection locked="0"/>
    </xf>
    <xf numFmtId="188" fontId="6" fillId="0" borderId="33" xfId="0" applyNumberFormat="1" applyFont="1" applyBorder="1" applyAlignment="1" applyProtection="1">
      <alignment vertical="center"/>
      <protection/>
    </xf>
    <xf numFmtId="188" fontId="5" fillId="0" borderId="14" xfId="68" applyNumberFormat="1" applyFont="1" applyFill="1" applyBorder="1" applyAlignment="1" applyProtection="1">
      <alignment horizontal="center" vertical="center"/>
      <protection/>
    </xf>
    <xf numFmtId="188" fontId="5" fillId="0" borderId="36" xfId="68" applyNumberFormat="1" applyFont="1" applyFill="1" applyBorder="1" applyAlignment="1" applyProtection="1">
      <alignment horizontal="center" vertical="center"/>
      <protection/>
    </xf>
    <xf numFmtId="188" fontId="1" fillId="7" borderId="14" xfId="0" applyNumberFormat="1" applyFont="1" applyFill="1" applyBorder="1" applyAlignment="1" applyProtection="1">
      <alignment horizontal="center" vertical="center"/>
      <protection locked="0"/>
    </xf>
    <xf numFmtId="188" fontId="1" fillId="7" borderId="51" xfId="0" applyNumberFormat="1" applyFont="1" applyFill="1" applyBorder="1" applyAlignment="1" applyProtection="1">
      <alignment horizontal="center" vertical="center"/>
      <protection locked="0"/>
    </xf>
    <xf numFmtId="0" fontId="0" fillId="0" borderId="0" xfId="0" applyFill="1" applyAlignment="1">
      <alignment vertical="center"/>
    </xf>
    <xf numFmtId="0" fontId="62" fillId="0" borderId="0" xfId="0" applyFont="1" applyFill="1" applyAlignment="1">
      <alignment vertical="center"/>
    </xf>
    <xf numFmtId="188" fontId="1" fillId="0" borderId="113" xfId="0" applyNumberFormat="1" applyFont="1" applyBorder="1" applyAlignment="1" applyProtection="1">
      <alignment horizontal="center" vertical="center"/>
      <protection/>
    </xf>
    <xf numFmtId="183" fontId="4" fillId="0" borderId="0" xfId="0" applyNumberFormat="1" applyFont="1" applyBorder="1" applyAlignment="1" applyProtection="1">
      <alignment vertical="center"/>
      <protection/>
    </xf>
    <xf numFmtId="188" fontId="1" fillId="0" borderId="68" xfId="0" applyNumberFormat="1" applyFont="1" applyBorder="1" applyAlignment="1" applyProtection="1">
      <alignment horizontal="center" vertical="center"/>
      <protection/>
    </xf>
    <xf numFmtId="183" fontId="4" fillId="0" borderId="0" xfId="0" applyNumberFormat="1" applyFont="1" applyFill="1" applyBorder="1" applyAlignment="1" applyProtection="1">
      <alignment horizontal="left" vertical="center"/>
      <protection/>
    </xf>
    <xf numFmtId="188" fontId="0" fillId="7" borderId="0" xfId="0" applyNumberFormat="1" applyFill="1" applyAlignment="1" applyProtection="1">
      <alignment vertical="center"/>
      <protection/>
    </xf>
    <xf numFmtId="0" fontId="62" fillId="0" borderId="0" xfId="0" applyFont="1" applyAlignment="1" applyProtection="1">
      <alignment vertical="center"/>
      <protection/>
    </xf>
    <xf numFmtId="0" fontId="4" fillId="0" borderId="0" xfId="0" applyFont="1" applyBorder="1" applyAlignment="1" applyProtection="1">
      <alignment vertical="center"/>
      <protection/>
    </xf>
    <xf numFmtId="188" fontId="4" fillId="0" borderId="0" xfId="0" applyNumberFormat="1" applyFont="1" applyBorder="1" applyAlignment="1" applyProtection="1">
      <alignment vertical="center"/>
      <protection/>
    </xf>
    <xf numFmtId="0" fontId="1" fillId="0" borderId="114" xfId="0" applyFont="1" applyBorder="1" applyAlignment="1" applyProtection="1">
      <alignment vertical="center"/>
      <protection/>
    </xf>
    <xf numFmtId="183" fontId="1" fillId="0" borderId="114" xfId="0" applyNumberFormat="1" applyFont="1" applyBorder="1" applyAlignment="1" applyProtection="1">
      <alignment vertical="center"/>
      <protection/>
    </xf>
    <xf numFmtId="188" fontId="1" fillId="0" borderId="114" xfId="0" applyNumberFormat="1" applyFont="1" applyBorder="1" applyAlignment="1" applyProtection="1">
      <alignment vertical="center"/>
      <protection/>
    </xf>
    <xf numFmtId="0" fontId="1" fillId="0" borderId="114" xfId="0" applyFont="1" applyBorder="1" applyAlignment="1" applyProtection="1">
      <alignment horizontal="center" vertical="center"/>
      <protection/>
    </xf>
    <xf numFmtId="0" fontId="1" fillId="0" borderId="68" xfId="0" applyFont="1" applyBorder="1" applyAlignment="1" applyProtection="1">
      <alignment horizontal="center" vertical="center" shrinkToFit="1"/>
      <protection/>
    </xf>
    <xf numFmtId="176" fontId="1" fillId="0" borderId="14" xfId="0" applyNumberFormat="1" applyFont="1" applyFill="1" applyBorder="1" applyAlignment="1" applyProtection="1">
      <alignment horizontal="center" vertical="center"/>
      <protection/>
    </xf>
    <xf numFmtId="176" fontId="1" fillId="0" borderId="51" xfId="0" applyNumberFormat="1" applyFont="1" applyFill="1" applyBorder="1" applyAlignment="1" applyProtection="1">
      <alignment horizontal="center" vertical="center"/>
      <protection/>
    </xf>
    <xf numFmtId="0" fontId="1" fillId="0" borderId="106" xfId="0" applyFont="1" applyBorder="1" applyAlignment="1" applyProtection="1">
      <alignment horizontal="center" vertical="center"/>
      <protection/>
    </xf>
    <xf numFmtId="0" fontId="5" fillId="34" borderId="98" xfId="0" applyFont="1" applyFill="1" applyBorder="1" applyAlignment="1" applyProtection="1">
      <alignment horizontal="center" vertical="center"/>
      <protection/>
    </xf>
    <xf numFmtId="0" fontId="5" fillId="34" borderId="97" xfId="0" applyFont="1" applyFill="1" applyBorder="1" applyAlignment="1" applyProtection="1">
      <alignment horizontal="center" vertical="center"/>
      <protection/>
    </xf>
    <xf numFmtId="0" fontId="5" fillId="34" borderId="70" xfId="0" applyFont="1" applyFill="1" applyBorder="1" applyAlignment="1" applyProtection="1">
      <alignment horizontal="center" vertical="center"/>
      <protection/>
    </xf>
    <xf numFmtId="0" fontId="5" fillId="34" borderId="71" xfId="0" applyFont="1" applyFill="1" applyBorder="1" applyAlignment="1" applyProtection="1">
      <alignment horizontal="center" vertical="center"/>
      <protection/>
    </xf>
    <xf numFmtId="0" fontId="5" fillId="34" borderId="72" xfId="0" applyFont="1" applyFill="1" applyBorder="1" applyAlignment="1" applyProtection="1">
      <alignment horizontal="center" vertical="center"/>
      <protection/>
    </xf>
    <xf numFmtId="0" fontId="1" fillId="34" borderId="73" xfId="0" applyFont="1" applyFill="1" applyBorder="1" applyAlignment="1" applyProtection="1">
      <alignment horizontal="center" vertical="center"/>
      <protection/>
    </xf>
    <xf numFmtId="0" fontId="1" fillId="34" borderId="78" xfId="0" applyFont="1" applyFill="1" applyBorder="1" applyAlignment="1" applyProtection="1">
      <alignment horizontal="center" vertical="center"/>
      <protection/>
    </xf>
    <xf numFmtId="0" fontId="1" fillId="34" borderId="81" xfId="0" applyFont="1" applyFill="1" applyBorder="1" applyAlignment="1" applyProtection="1">
      <alignment horizontal="center" vertical="center"/>
      <protection/>
    </xf>
    <xf numFmtId="180" fontId="1" fillId="0" borderId="0" xfId="0" applyNumberFormat="1" applyFont="1" applyAlignment="1" applyProtection="1">
      <alignment vertical="center"/>
      <protection/>
    </xf>
    <xf numFmtId="179" fontId="1" fillId="0" borderId="0" xfId="0" applyNumberFormat="1" applyFont="1" applyAlignment="1" applyProtection="1">
      <alignment vertical="center"/>
      <protection/>
    </xf>
    <xf numFmtId="179" fontId="1" fillId="0" borderId="12" xfId="0" applyNumberFormat="1" applyFont="1" applyBorder="1" applyAlignment="1" applyProtection="1">
      <alignment vertical="center"/>
      <protection/>
    </xf>
    <xf numFmtId="0" fontId="1" fillId="6" borderId="66" xfId="0" applyFont="1" applyFill="1" applyBorder="1" applyAlignment="1" applyProtection="1">
      <alignment vertical="center"/>
      <protection/>
    </xf>
    <xf numFmtId="0" fontId="1" fillId="6" borderId="67" xfId="0" applyFont="1" applyFill="1" applyBorder="1" applyAlignment="1" applyProtection="1">
      <alignment vertical="center"/>
      <protection/>
    </xf>
    <xf numFmtId="0" fontId="1" fillId="0" borderId="11" xfId="0" applyFont="1" applyFill="1" applyBorder="1" applyAlignment="1" applyProtection="1">
      <alignment vertical="center"/>
      <protection/>
    </xf>
    <xf numFmtId="176" fontId="1" fillId="0" borderId="91" xfId="0" applyNumberFormat="1" applyFont="1" applyFill="1" applyBorder="1" applyAlignment="1" applyProtection="1">
      <alignment vertical="center"/>
      <protection/>
    </xf>
    <xf numFmtId="176" fontId="1" fillId="0" borderId="50" xfId="0" applyNumberFormat="1" applyFont="1" applyFill="1" applyBorder="1" applyAlignment="1" applyProtection="1">
      <alignment vertical="center"/>
      <protection/>
    </xf>
    <xf numFmtId="0" fontId="1" fillId="0" borderId="87" xfId="0" applyFont="1" applyBorder="1" applyAlignment="1" applyProtection="1">
      <alignment vertical="center"/>
      <protection/>
    </xf>
    <xf numFmtId="0" fontId="1" fillId="0" borderId="87" xfId="0" applyFont="1" applyBorder="1" applyAlignment="1" applyProtection="1">
      <alignment horizontal="center" vertical="center"/>
      <protection/>
    </xf>
    <xf numFmtId="178" fontId="1" fillId="0" borderId="87" xfId="0" applyNumberFormat="1" applyFont="1" applyBorder="1" applyAlignment="1" applyProtection="1">
      <alignment horizontal="center" vertical="center"/>
      <protection/>
    </xf>
    <xf numFmtId="178" fontId="1" fillId="0" borderId="87" xfId="0" applyNumberFormat="1" applyFont="1" applyBorder="1" applyAlignment="1" applyProtection="1">
      <alignment vertical="center"/>
      <protection/>
    </xf>
    <xf numFmtId="0" fontId="65" fillId="0" borderId="0" xfId="0" applyFont="1" applyAlignment="1">
      <alignment vertical="center"/>
    </xf>
    <xf numFmtId="183" fontId="1" fillId="0" borderId="0" xfId="0" applyNumberFormat="1" applyFont="1" applyBorder="1" applyAlignment="1" applyProtection="1">
      <alignment vertical="center"/>
      <protection locked="0"/>
    </xf>
    <xf numFmtId="0" fontId="1" fillId="0" borderId="0" xfId="0" applyFont="1" applyAlignment="1" applyProtection="1">
      <alignment vertical="center"/>
      <protection/>
    </xf>
    <xf numFmtId="183" fontId="1" fillId="0" borderId="0" xfId="0" applyNumberFormat="1" applyFont="1" applyAlignment="1" applyProtection="1">
      <alignment vertical="center"/>
      <protection/>
    </xf>
    <xf numFmtId="188" fontId="1" fillId="0" borderId="0" xfId="0" applyNumberFormat="1" applyFont="1" applyAlignment="1" applyProtection="1">
      <alignment vertical="center"/>
      <protection/>
    </xf>
    <xf numFmtId="0" fontId="1" fillId="0" borderId="0" xfId="0" applyFont="1" applyAlignment="1" applyProtection="1">
      <alignment horizontal="center" vertical="center"/>
      <protection/>
    </xf>
    <xf numFmtId="183" fontId="1" fillId="0" borderId="0" xfId="0" applyNumberFormat="1" applyFont="1" applyBorder="1" applyAlignment="1" applyProtection="1">
      <alignment horizontal="center" vertical="center"/>
      <protection/>
    </xf>
    <xf numFmtId="188" fontId="1" fillId="0" borderId="113" xfId="0" applyNumberFormat="1" applyFont="1" applyBorder="1" applyAlignment="1" applyProtection="1">
      <alignment horizontal="center" vertical="center"/>
      <protection/>
    </xf>
    <xf numFmtId="188" fontId="1" fillId="0" borderId="68" xfId="0" applyNumberFormat="1" applyFont="1" applyBorder="1" applyAlignment="1" applyProtection="1">
      <alignment horizontal="center" vertical="center"/>
      <protection/>
    </xf>
    <xf numFmtId="0" fontId="1" fillId="0" borderId="0" xfId="0" applyFont="1" applyBorder="1" applyAlignment="1" applyProtection="1">
      <alignment horizontal="distributed" vertical="center" indent="1"/>
      <protection/>
    </xf>
    <xf numFmtId="0" fontId="1" fillId="0" borderId="0" xfId="0" applyFont="1" applyBorder="1" applyAlignment="1" applyProtection="1">
      <alignment horizontal="center" vertical="center"/>
      <protection/>
    </xf>
    <xf numFmtId="0" fontId="1" fillId="0" borderId="0" xfId="0" applyFont="1" applyBorder="1" applyAlignment="1" applyProtection="1">
      <alignment vertical="center"/>
      <protection/>
    </xf>
    <xf numFmtId="0" fontId="1" fillId="0" borderId="0" xfId="0" applyFont="1" applyFill="1" applyAlignment="1" applyProtection="1">
      <alignment vertical="center"/>
      <protection locked="0"/>
    </xf>
    <xf numFmtId="0" fontId="1" fillId="0" borderId="0" xfId="0"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0" fontId="1" fillId="0" borderId="54" xfId="0" applyFont="1" applyBorder="1" applyAlignment="1" applyProtection="1">
      <alignment horizontal="center" vertical="center"/>
      <protection/>
    </xf>
    <xf numFmtId="176" fontId="1" fillId="0" borderId="49" xfId="0" applyNumberFormat="1" applyFont="1" applyFill="1" applyBorder="1" applyAlignment="1" applyProtection="1">
      <alignment vertical="center"/>
      <protection/>
    </xf>
    <xf numFmtId="0" fontId="1" fillId="7" borderId="14" xfId="0" applyFont="1" applyFill="1" applyBorder="1" applyAlignment="1" applyProtection="1">
      <alignment horizontal="center" vertical="center"/>
      <protection/>
    </xf>
    <xf numFmtId="176" fontId="1" fillId="7" borderId="14" xfId="0" applyNumberFormat="1" applyFont="1" applyFill="1" applyBorder="1" applyAlignment="1" applyProtection="1">
      <alignment horizontal="center" vertical="center"/>
      <protection/>
    </xf>
    <xf numFmtId="183" fontId="1" fillId="7" borderId="14" xfId="0" applyNumberFormat="1" applyFont="1" applyFill="1" applyBorder="1" applyAlignment="1" applyProtection="1">
      <alignment horizontal="center" vertical="center"/>
      <protection/>
    </xf>
    <xf numFmtId="177" fontId="1" fillId="7" borderId="14" xfId="0" applyNumberFormat="1" applyFont="1" applyFill="1" applyBorder="1" applyAlignment="1" applyProtection="1">
      <alignment horizontal="center" vertical="center"/>
      <protection/>
    </xf>
    <xf numFmtId="188" fontId="1" fillId="7" borderId="14" xfId="0" applyNumberFormat="1" applyFont="1" applyFill="1" applyBorder="1" applyAlignment="1" applyProtection="1">
      <alignment horizontal="center" vertical="center"/>
      <protection/>
    </xf>
    <xf numFmtId="11" fontId="1" fillId="0" borderId="0" xfId="0" applyNumberFormat="1" applyFont="1" applyFill="1" applyBorder="1" applyAlignment="1" applyProtection="1">
      <alignment horizontal="center" vertical="center"/>
      <protection/>
    </xf>
    <xf numFmtId="0" fontId="1" fillId="0" borderId="55" xfId="0" applyFont="1" applyFill="1" applyBorder="1" applyAlignment="1" applyProtection="1">
      <alignment horizontal="center" vertical="center"/>
      <protection/>
    </xf>
    <xf numFmtId="0" fontId="9" fillId="0" borderId="0" xfId="0" applyFont="1" applyAlignment="1" applyProtection="1">
      <alignment vertical="center"/>
      <protection locked="0"/>
    </xf>
    <xf numFmtId="0" fontId="1" fillId="18" borderId="55" xfId="0" applyFont="1" applyFill="1" applyBorder="1" applyAlignment="1" applyProtection="1">
      <alignment horizontal="center" vertical="center"/>
      <protection/>
    </xf>
    <xf numFmtId="176" fontId="1" fillId="0" borderId="91" xfId="0" applyNumberFormat="1" applyFont="1" applyFill="1" applyBorder="1" applyAlignment="1" applyProtection="1">
      <alignment vertical="center"/>
      <protection/>
    </xf>
    <xf numFmtId="0" fontId="1" fillId="7" borderId="92" xfId="0" applyFont="1" applyFill="1" applyBorder="1" applyAlignment="1" applyProtection="1">
      <alignment horizontal="center" vertical="center"/>
      <protection/>
    </xf>
    <xf numFmtId="176" fontId="1" fillId="7" borderId="92" xfId="0" applyNumberFormat="1" applyFont="1" applyFill="1" applyBorder="1" applyAlignment="1" applyProtection="1">
      <alignment horizontal="center" vertical="center"/>
      <protection/>
    </xf>
    <xf numFmtId="183" fontId="1" fillId="7" borderId="92" xfId="0" applyNumberFormat="1" applyFont="1" applyFill="1" applyBorder="1" applyAlignment="1" applyProtection="1">
      <alignment horizontal="center" vertical="center"/>
      <protection/>
    </xf>
    <xf numFmtId="177" fontId="1" fillId="7" borderId="92" xfId="0" applyNumberFormat="1" applyFont="1" applyFill="1" applyBorder="1" applyAlignment="1" applyProtection="1">
      <alignment horizontal="center" vertical="center"/>
      <protection/>
    </xf>
    <xf numFmtId="188" fontId="1" fillId="7" borderId="92" xfId="0" applyNumberFormat="1" applyFont="1" applyFill="1" applyBorder="1" applyAlignment="1" applyProtection="1">
      <alignment horizontal="center" vertical="center"/>
      <protection/>
    </xf>
    <xf numFmtId="11" fontId="1" fillId="0" borderId="96" xfId="0" applyNumberFormat="1" applyFont="1" applyFill="1" applyBorder="1" applyAlignment="1" applyProtection="1">
      <alignment horizontal="center" vertical="center"/>
      <protection/>
    </xf>
    <xf numFmtId="176" fontId="1" fillId="0" borderId="50" xfId="0" applyNumberFormat="1" applyFont="1" applyFill="1" applyBorder="1" applyAlignment="1" applyProtection="1">
      <alignment vertical="center"/>
      <protection/>
    </xf>
    <xf numFmtId="0" fontId="1" fillId="7" borderId="51" xfId="0" applyFont="1" applyFill="1" applyBorder="1" applyAlignment="1" applyProtection="1">
      <alignment horizontal="center" vertical="center"/>
      <protection/>
    </xf>
    <xf numFmtId="176" fontId="1" fillId="7" borderId="51" xfId="0" applyNumberFormat="1" applyFont="1" applyFill="1" applyBorder="1" applyAlignment="1" applyProtection="1">
      <alignment horizontal="center" vertical="center"/>
      <protection/>
    </xf>
    <xf numFmtId="183" fontId="1" fillId="7" borderId="51" xfId="0" applyNumberFormat="1" applyFont="1" applyFill="1" applyBorder="1" applyAlignment="1" applyProtection="1">
      <alignment horizontal="center" vertical="center"/>
      <protection/>
    </xf>
    <xf numFmtId="177" fontId="1" fillId="7" borderId="51" xfId="0" applyNumberFormat="1" applyFont="1" applyFill="1" applyBorder="1" applyAlignment="1" applyProtection="1">
      <alignment horizontal="center" vertical="center"/>
      <protection/>
    </xf>
    <xf numFmtId="188" fontId="1" fillId="7" borderId="51" xfId="0" applyNumberFormat="1" applyFont="1" applyFill="1" applyBorder="1" applyAlignment="1" applyProtection="1">
      <alignment horizontal="center" vertical="center"/>
      <protection/>
    </xf>
    <xf numFmtId="11" fontId="1" fillId="0" borderId="99" xfId="0" applyNumberFormat="1" applyFont="1" applyFill="1" applyBorder="1" applyAlignment="1" applyProtection="1">
      <alignment horizontal="center" vertical="center"/>
      <protection/>
    </xf>
    <xf numFmtId="0" fontId="1" fillId="18" borderId="57" xfId="0" applyFont="1" applyFill="1" applyBorder="1" applyAlignment="1" applyProtection="1">
      <alignment horizontal="center" vertical="center"/>
      <protection/>
    </xf>
    <xf numFmtId="0" fontId="1" fillId="0" borderId="0" xfId="0" applyFont="1" applyBorder="1" applyAlignment="1" applyProtection="1">
      <alignment vertical="center"/>
      <protection/>
    </xf>
    <xf numFmtId="183" fontId="1" fillId="0" borderId="0" xfId="0" applyNumberFormat="1" applyFont="1" applyBorder="1" applyAlignment="1" applyProtection="1">
      <alignment vertical="center"/>
      <protection/>
    </xf>
    <xf numFmtId="188" fontId="1" fillId="0" borderId="0" xfId="0" applyNumberFormat="1" applyFont="1" applyBorder="1" applyAlignment="1" applyProtection="1">
      <alignment vertical="center"/>
      <protection/>
    </xf>
    <xf numFmtId="0" fontId="1" fillId="0" borderId="0" xfId="0" applyFont="1" applyFill="1" applyBorder="1" applyAlignment="1" applyProtection="1">
      <alignment vertical="center"/>
      <protection/>
    </xf>
    <xf numFmtId="183" fontId="1" fillId="0" borderId="114" xfId="0" applyNumberFormat="1" applyFont="1" applyBorder="1" applyAlignment="1" applyProtection="1">
      <alignment vertical="center"/>
      <protection/>
    </xf>
    <xf numFmtId="188" fontId="1" fillId="0" borderId="114" xfId="0" applyNumberFormat="1" applyFont="1" applyBorder="1" applyAlignment="1" applyProtection="1">
      <alignment vertical="center"/>
      <protection/>
    </xf>
    <xf numFmtId="183" fontId="1" fillId="0" borderId="0" xfId="0" applyNumberFormat="1" applyFont="1" applyAlignment="1" applyProtection="1">
      <alignment vertical="center"/>
      <protection locked="0"/>
    </xf>
    <xf numFmtId="188" fontId="1" fillId="0" borderId="0" xfId="0" applyNumberFormat="1" applyFont="1" applyAlignment="1" applyProtection="1">
      <alignment vertical="center"/>
      <protection locked="0"/>
    </xf>
    <xf numFmtId="0" fontId="1" fillId="0" borderId="0" xfId="0" applyFont="1" applyFill="1" applyBorder="1" applyAlignment="1" applyProtection="1">
      <alignment vertical="center"/>
      <protection locked="0"/>
    </xf>
    <xf numFmtId="181" fontId="1" fillId="7" borderId="49" xfId="0" applyNumberFormat="1" applyFont="1" applyFill="1" applyBorder="1" applyAlignment="1" applyProtection="1">
      <alignment horizontal="center" vertical="center"/>
      <protection locked="0"/>
    </xf>
    <xf numFmtId="181" fontId="1" fillId="7" borderId="50" xfId="0" applyNumberFormat="1" applyFont="1" applyFill="1" applyBorder="1" applyAlignment="1" applyProtection="1">
      <alignment horizontal="center" vertical="center"/>
      <protection locked="0"/>
    </xf>
    <xf numFmtId="0" fontId="5" fillId="0" borderId="115" xfId="68" applyFont="1" applyFill="1" applyBorder="1" applyAlignment="1" applyProtection="1">
      <alignment horizontal="center" vertical="center" shrinkToFit="1"/>
      <protection/>
    </xf>
    <xf numFmtId="0" fontId="5" fillId="0" borderId="116" xfId="68" applyFont="1" applyFill="1" applyBorder="1" applyAlignment="1" applyProtection="1">
      <alignment horizontal="center" vertical="center" shrinkToFit="1"/>
      <protection/>
    </xf>
    <xf numFmtId="0" fontId="5" fillId="0" borderId="117" xfId="68" applyFont="1" applyFill="1" applyBorder="1" applyAlignment="1" applyProtection="1">
      <alignment horizontal="center" vertical="center" shrinkToFit="1"/>
      <protection/>
    </xf>
    <xf numFmtId="0" fontId="5" fillId="34" borderId="118" xfId="0" applyFont="1" applyFill="1" applyBorder="1" applyAlignment="1" applyProtection="1">
      <alignment vertical="center"/>
      <protection/>
    </xf>
    <xf numFmtId="0" fontId="1" fillId="33" borderId="119" xfId="0" applyFont="1" applyFill="1" applyBorder="1" applyAlignment="1" applyProtection="1">
      <alignment vertical="center"/>
      <protection/>
    </xf>
    <xf numFmtId="0" fontId="1" fillId="35" borderId="120" xfId="0" applyFont="1" applyFill="1" applyBorder="1" applyAlignment="1" applyProtection="1">
      <alignment vertical="center"/>
      <protection/>
    </xf>
    <xf numFmtId="0" fontId="1" fillId="35" borderId="120" xfId="0" applyFont="1" applyFill="1" applyBorder="1" applyAlignment="1" applyProtection="1">
      <alignment vertical="center"/>
      <protection locked="0"/>
    </xf>
    <xf numFmtId="0" fontId="1" fillId="35" borderId="121" xfId="0" applyFont="1" applyFill="1" applyBorder="1" applyAlignment="1" applyProtection="1">
      <alignment vertical="center"/>
      <protection locked="0"/>
    </xf>
    <xf numFmtId="0" fontId="1" fillId="0" borderId="122" xfId="0" applyFont="1" applyBorder="1" applyAlignment="1" applyProtection="1">
      <alignment vertical="center"/>
      <protection locked="0"/>
    </xf>
    <xf numFmtId="177" fontId="1" fillId="0" borderId="123" xfId="0" applyNumberFormat="1" applyFont="1" applyBorder="1" applyAlignment="1" applyProtection="1">
      <alignment horizontal="center" vertical="center"/>
      <protection/>
    </xf>
    <xf numFmtId="0" fontId="1" fillId="33" borderId="124" xfId="0" applyFont="1" applyFill="1" applyBorder="1" applyAlignment="1" applyProtection="1">
      <alignment vertical="center"/>
      <protection/>
    </xf>
    <xf numFmtId="0" fontId="1" fillId="0" borderId="125" xfId="0" applyFont="1" applyBorder="1" applyAlignment="1" applyProtection="1">
      <alignment vertical="center"/>
      <protection locked="0"/>
    </xf>
    <xf numFmtId="177" fontId="9" fillId="0" borderId="126" xfId="0" applyNumberFormat="1" applyFont="1" applyBorder="1" applyAlignment="1" applyProtection="1">
      <alignment horizontal="center" vertical="center"/>
      <protection/>
    </xf>
    <xf numFmtId="177" fontId="9" fillId="0" borderId="127" xfId="0" applyNumberFormat="1" applyFont="1" applyBorder="1" applyAlignment="1" applyProtection="1">
      <alignment horizontal="center" vertical="center"/>
      <protection/>
    </xf>
    <xf numFmtId="0" fontId="1" fillId="0" borderId="87" xfId="0" applyFont="1" applyBorder="1" applyAlignment="1" applyProtection="1">
      <alignment vertical="center"/>
      <protection locked="0"/>
    </xf>
    <xf numFmtId="177" fontId="1" fillId="0" borderId="0" xfId="0" applyNumberFormat="1"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0" fontId="1" fillId="0" borderId="128" xfId="0" applyFont="1" applyBorder="1" applyAlignment="1" applyProtection="1">
      <alignment vertical="center"/>
      <protection locked="0"/>
    </xf>
    <xf numFmtId="0" fontId="1"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177" fontId="1" fillId="0" borderId="58" xfId="0" applyNumberFormat="1" applyFont="1" applyFill="1" applyBorder="1" applyAlignment="1" applyProtection="1">
      <alignment horizontal="center" vertical="center"/>
      <protection locked="0"/>
    </xf>
    <xf numFmtId="177" fontId="1" fillId="0" borderId="58" xfId="0" applyNumberFormat="1" applyFont="1" applyFill="1" applyBorder="1" applyAlignment="1" applyProtection="1">
      <alignment vertical="center"/>
      <protection locked="0"/>
    </xf>
    <xf numFmtId="0" fontId="1" fillId="0" borderId="58" xfId="0" applyFont="1" applyFill="1" applyBorder="1" applyAlignment="1" applyProtection="1">
      <alignment horizontal="center" vertical="center"/>
      <protection locked="0"/>
    </xf>
    <xf numFmtId="177" fontId="1" fillId="0" borderId="92" xfId="0" applyNumberFormat="1" applyFont="1" applyFill="1" applyBorder="1" applyAlignment="1" applyProtection="1">
      <alignment horizontal="center" vertical="center"/>
      <protection/>
    </xf>
    <xf numFmtId="180" fontId="1" fillId="0" borderId="0" xfId="0" applyNumberFormat="1" applyFont="1" applyFill="1" applyBorder="1" applyAlignment="1" applyProtection="1">
      <alignment vertical="center"/>
      <protection locked="0"/>
    </xf>
    <xf numFmtId="179" fontId="1" fillId="0" borderId="0" xfId="0" applyNumberFormat="1" applyFont="1" applyFill="1" applyBorder="1" applyAlignment="1" applyProtection="1">
      <alignment vertical="center"/>
      <protection locked="0"/>
    </xf>
    <xf numFmtId="0" fontId="1" fillId="0" borderId="0" xfId="0" applyFont="1" applyFill="1" applyAlignment="1" applyProtection="1">
      <alignment vertical="center"/>
      <protection locked="0"/>
    </xf>
    <xf numFmtId="0" fontId="1" fillId="0" borderId="58" xfId="0" applyFont="1" applyFill="1" applyBorder="1" applyAlignment="1" applyProtection="1">
      <alignment horizontal="center" vertical="center"/>
      <protection locked="0"/>
    </xf>
    <xf numFmtId="0" fontId="18" fillId="0" borderId="129" xfId="0" applyFont="1" applyFill="1" applyBorder="1" applyAlignment="1" applyProtection="1">
      <alignment horizontal="center" vertical="center"/>
      <protection/>
    </xf>
    <xf numFmtId="177" fontId="2" fillId="0" borderId="129" xfId="0" applyNumberFormat="1" applyFont="1" applyFill="1" applyBorder="1" applyAlignment="1" applyProtection="1">
      <alignment horizontal="left" vertical="center"/>
      <protection/>
    </xf>
    <xf numFmtId="0" fontId="2" fillId="0" borderId="104" xfId="0" applyFont="1" applyFill="1" applyBorder="1" applyAlignment="1" applyProtection="1">
      <alignment vertical="center"/>
      <protection/>
    </xf>
    <xf numFmtId="0" fontId="2" fillId="0" borderId="88" xfId="0" applyFont="1" applyFill="1" applyBorder="1" applyAlignment="1" applyProtection="1">
      <alignment vertical="center"/>
      <protection/>
    </xf>
    <xf numFmtId="0" fontId="2" fillId="0" borderId="65" xfId="0" applyFont="1" applyFill="1" applyBorder="1" applyAlignment="1" applyProtection="1">
      <alignment vertical="center"/>
      <protection/>
    </xf>
    <xf numFmtId="0" fontId="18" fillId="0" borderId="104" xfId="0" applyFont="1" applyFill="1" applyBorder="1" applyAlignment="1" applyProtection="1">
      <alignment horizontal="center" vertical="center"/>
      <protection/>
    </xf>
    <xf numFmtId="0" fontId="2" fillId="0" borderId="105" xfId="0" applyFont="1" applyFill="1" applyBorder="1" applyAlignment="1" applyProtection="1">
      <alignment vertical="center"/>
      <protection/>
    </xf>
    <xf numFmtId="0" fontId="2" fillId="0" borderId="90" xfId="0" applyFont="1" applyFill="1" applyBorder="1" applyAlignment="1" applyProtection="1">
      <alignment vertical="center"/>
      <protection/>
    </xf>
    <xf numFmtId="0" fontId="2" fillId="0" borderId="69" xfId="0" applyFont="1" applyFill="1" applyBorder="1" applyAlignment="1" applyProtection="1">
      <alignment vertical="center"/>
      <protection/>
    </xf>
    <xf numFmtId="0" fontId="1" fillId="0" borderId="13" xfId="0" applyFont="1" applyFill="1" applyBorder="1" applyAlignment="1" applyProtection="1">
      <alignment horizontal="center" vertical="center"/>
      <protection locked="0"/>
    </xf>
    <xf numFmtId="177" fontId="1" fillId="0" borderId="13" xfId="0" applyNumberFormat="1"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5" fillId="0" borderId="0" xfId="68" applyFont="1" applyFill="1" applyBorder="1" applyAlignment="1" applyProtection="1">
      <alignment horizontal="center" vertical="center" shrinkToFit="1"/>
      <protection/>
    </xf>
    <xf numFmtId="0" fontId="7" fillId="0" borderId="11" xfId="68" applyFont="1" applyFill="1" applyBorder="1" applyAlignment="1" applyProtection="1">
      <alignment horizontal="center" vertical="center" shrinkToFit="1"/>
      <protection/>
    </xf>
    <xf numFmtId="177" fontId="1" fillId="0" borderId="0" xfId="0" applyNumberFormat="1" applyFont="1" applyFill="1" applyBorder="1" applyAlignment="1" applyProtection="1">
      <alignment horizontal="center" vertical="center"/>
      <protection/>
    </xf>
    <xf numFmtId="177" fontId="1" fillId="0" borderId="18" xfId="0" applyNumberFormat="1" applyFont="1" applyFill="1" applyBorder="1" applyAlignment="1" applyProtection="1">
      <alignment horizontal="center" vertical="center"/>
      <protection/>
    </xf>
    <xf numFmtId="0" fontId="1" fillId="0" borderId="0" xfId="0" applyFont="1" applyBorder="1" applyAlignment="1" applyProtection="1">
      <alignment horizontal="distributed" vertical="center" indent="1"/>
      <protection/>
    </xf>
    <xf numFmtId="0" fontId="1" fillId="0" borderId="0" xfId="0" applyFont="1" applyBorder="1" applyAlignment="1" applyProtection="1">
      <alignment horizontal="center" vertical="center"/>
      <protection/>
    </xf>
    <xf numFmtId="183" fontId="1" fillId="0" borderId="0" xfId="0" applyNumberFormat="1" applyFont="1" applyBorder="1" applyAlignment="1" applyProtection="1">
      <alignment horizontal="center" vertical="center"/>
      <protection/>
    </xf>
    <xf numFmtId="0" fontId="1" fillId="0" borderId="0" xfId="0" applyFont="1" applyBorder="1" applyAlignment="1" applyProtection="1">
      <alignment vertical="center"/>
      <protection/>
    </xf>
    <xf numFmtId="188" fontId="1" fillId="0" borderId="0" xfId="0" applyNumberFormat="1" applyFont="1" applyAlignment="1" applyProtection="1">
      <alignment vertical="center"/>
      <protection/>
    </xf>
    <xf numFmtId="0" fontId="1" fillId="0" borderId="0" xfId="0" applyFont="1" applyAlignment="1" applyProtection="1">
      <alignment vertical="center"/>
      <protection/>
    </xf>
    <xf numFmtId="0" fontId="1" fillId="0" borderId="0" xfId="0"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0" fontId="1" fillId="0" borderId="0" xfId="0" applyFont="1" applyAlignment="1" applyProtection="1">
      <alignment horizontal="center" vertical="center"/>
      <protection/>
    </xf>
    <xf numFmtId="183" fontId="1" fillId="0" borderId="0" xfId="0" applyNumberFormat="1" applyFont="1" applyAlignment="1" applyProtection="1">
      <alignment vertical="center"/>
      <protection/>
    </xf>
    <xf numFmtId="0" fontId="1" fillId="0" borderId="0" xfId="0" applyFont="1" applyBorder="1" applyAlignment="1" applyProtection="1">
      <alignment vertical="center"/>
      <protection/>
    </xf>
    <xf numFmtId="11" fontId="1" fillId="0" borderId="0" xfId="0" applyNumberFormat="1" applyFont="1" applyFill="1" applyBorder="1" applyAlignment="1" applyProtection="1">
      <alignment horizontal="center" vertical="center"/>
      <protection/>
    </xf>
    <xf numFmtId="11" fontId="1"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183" fontId="1" fillId="0" borderId="0" xfId="0" applyNumberFormat="1" applyFont="1" applyBorder="1" applyAlignment="1" applyProtection="1">
      <alignment vertical="center"/>
      <protection/>
    </xf>
    <xf numFmtId="188" fontId="1" fillId="0" borderId="0" xfId="0" applyNumberFormat="1" applyFont="1" applyBorder="1" applyAlignment="1" applyProtection="1">
      <alignment vertical="center"/>
      <protection/>
    </xf>
    <xf numFmtId="0" fontId="1" fillId="7" borderId="14" xfId="0" applyFont="1" applyFill="1" applyBorder="1" applyAlignment="1" applyProtection="1">
      <alignment horizontal="center" vertical="center"/>
      <protection locked="0"/>
    </xf>
    <xf numFmtId="183" fontId="1" fillId="7" borderId="14" xfId="0" applyNumberFormat="1" applyFont="1" applyFill="1" applyBorder="1" applyAlignment="1" applyProtection="1">
      <alignment horizontal="center" vertical="center"/>
      <protection locked="0"/>
    </xf>
    <xf numFmtId="188" fontId="1" fillId="7" borderId="14" xfId="0" applyNumberFormat="1" applyFont="1" applyFill="1" applyBorder="1" applyAlignment="1" applyProtection="1">
      <alignment horizontal="center" vertical="center"/>
      <protection locked="0"/>
    </xf>
    <xf numFmtId="0" fontId="1" fillId="7" borderId="92" xfId="0" applyFont="1" applyFill="1" applyBorder="1" applyAlignment="1" applyProtection="1">
      <alignment horizontal="center" vertical="center"/>
      <protection locked="0"/>
    </xf>
    <xf numFmtId="176" fontId="1" fillId="7" borderId="92" xfId="0" applyNumberFormat="1" applyFont="1" applyFill="1" applyBorder="1" applyAlignment="1" applyProtection="1">
      <alignment horizontal="center" vertical="center"/>
      <protection locked="0"/>
    </xf>
    <xf numFmtId="183" fontId="1" fillId="7" borderId="92" xfId="0" applyNumberFormat="1" applyFont="1" applyFill="1" applyBorder="1" applyAlignment="1" applyProtection="1">
      <alignment horizontal="center" vertical="center"/>
      <protection locked="0"/>
    </xf>
    <xf numFmtId="177" fontId="1" fillId="7" borderId="92" xfId="0" applyNumberFormat="1" applyFont="1" applyFill="1" applyBorder="1" applyAlignment="1" applyProtection="1">
      <alignment horizontal="center" vertical="center"/>
      <protection locked="0"/>
    </xf>
    <xf numFmtId="188" fontId="1" fillId="7" borderId="92" xfId="0" applyNumberFormat="1" applyFont="1" applyFill="1" applyBorder="1" applyAlignment="1" applyProtection="1">
      <alignment horizontal="center" vertical="center"/>
      <protection locked="0"/>
    </xf>
    <xf numFmtId="176" fontId="18" fillId="0" borderId="65" xfId="0" applyNumberFormat="1" applyFont="1" applyFill="1" applyBorder="1" applyAlignment="1" applyProtection="1">
      <alignment vertical="center"/>
      <protection/>
    </xf>
    <xf numFmtId="176" fontId="18" fillId="0" borderId="69" xfId="0" applyNumberFormat="1" applyFont="1" applyFill="1" applyBorder="1" applyAlignment="1" applyProtection="1">
      <alignment vertical="center"/>
      <protection/>
    </xf>
    <xf numFmtId="0" fontId="1" fillId="7" borderId="66" xfId="0" applyFont="1" applyFill="1" applyBorder="1" applyAlignment="1" applyProtection="1">
      <alignment vertical="center"/>
      <protection locked="0"/>
    </xf>
    <xf numFmtId="0" fontId="1" fillId="7" borderId="67" xfId="0" applyFont="1" applyFill="1" applyBorder="1" applyAlignment="1" applyProtection="1">
      <alignment vertical="center"/>
      <protection locked="0"/>
    </xf>
    <xf numFmtId="183" fontId="4" fillId="0" borderId="67" xfId="0" applyNumberFormat="1" applyFont="1" applyBorder="1" applyAlignment="1" applyProtection="1">
      <alignment vertical="center"/>
      <protection/>
    </xf>
    <xf numFmtId="183" fontId="4" fillId="0" borderId="66" xfId="0" applyNumberFormat="1" applyFont="1" applyBorder="1" applyAlignment="1" applyProtection="1">
      <alignment vertical="center"/>
      <protection/>
    </xf>
    <xf numFmtId="0" fontId="1" fillId="7" borderId="66" xfId="0" applyFont="1" applyFill="1" applyBorder="1" applyAlignment="1" applyProtection="1">
      <alignment vertical="center"/>
      <protection/>
    </xf>
    <xf numFmtId="0" fontId="1" fillId="7" borderId="67" xfId="0" applyFont="1" applyFill="1" applyBorder="1" applyAlignment="1" applyProtection="1">
      <alignment vertical="center"/>
      <protection/>
    </xf>
    <xf numFmtId="0" fontId="0" fillId="0" borderId="130" xfId="0" applyBorder="1" applyAlignment="1">
      <alignment horizontal="left" vertical="center" wrapText="1"/>
    </xf>
    <xf numFmtId="0" fontId="0" fillId="0" borderId="131" xfId="0" applyBorder="1" applyAlignment="1">
      <alignment horizontal="left" vertical="center" wrapText="1"/>
    </xf>
    <xf numFmtId="0" fontId="64" fillId="0" borderId="0" xfId="0" applyFont="1" applyAlignment="1">
      <alignment horizontal="center" vertical="center"/>
    </xf>
    <xf numFmtId="0" fontId="0" fillId="0" borderId="132" xfId="0" applyBorder="1" applyAlignment="1">
      <alignment horizontal="left" vertical="center" wrapText="1"/>
    </xf>
    <xf numFmtId="0" fontId="0" fillId="0" borderId="133" xfId="0" applyBorder="1" applyAlignment="1">
      <alignment horizontal="left" vertical="center" wrapText="1"/>
    </xf>
    <xf numFmtId="0" fontId="0" fillId="0" borderId="134" xfId="0" applyBorder="1" applyAlignment="1">
      <alignment horizontal="left" vertical="center" wrapText="1"/>
    </xf>
    <xf numFmtId="0" fontId="0" fillId="0" borderId="78" xfId="0" applyBorder="1" applyAlignment="1">
      <alignment horizontal="left" vertical="center" wrapText="1"/>
    </xf>
    <xf numFmtId="0" fontId="0" fillId="0" borderId="0" xfId="0" applyBorder="1" applyAlignment="1">
      <alignment horizontal="left" vertical="center" wrapText="1"/>
    </xf>
    <xf numFmtId="0" fontId="0" fillId="0" borderId="135" xfId="0" applyBorder="1" applyAlignment="1">
      <alignment horizontal="left" vertical="center" wrapText="1"/>
    </xf>
    <xf numFmtId="0" fontId="0" fillId="0" borderId="81" xfId="0" applyBorder="1" applyAlignment="1">
      <alignment horizontal="left" vertical="center" wrapText="1"/>
    </xf>
    <xf numFmtId="0" fontId="0" fillId="0" borderId="87" xfId="0" applyBorder="1" applyAlignment="1">
      <alignment horizontal="left" vertical="center" wrapText="1"/>
    </xf>
    <xf numFmtId="0" fontId="0" fillId="0" borderId="136" xfId="0" applyBorder="1" applyAlignment="1">
      <alignment horizontal="left" vertical="center" wrapText="1"/>
    </xf>
    <xf numFmtId="0" fontId="66" fillId="0" borderId="0" xfId="0" applyFont="1" applyAlignment="1">
      <alignment horizontal="center" vertical="center"/>
    </xf>
    <xf numFmtId="0" fontId="67" fillId="36" borderId="0" xfId="0" applyFont="1" applyFill="1" applyAlignment="1">
      <alignment horizontal="center" vertical="center" wrapText="1"/>
    </xf>
    <xf numFmtId="0" fontId="67" fillId="36" borderId="0" xfId="0" applyFont="1" applyFill="1" applyAlignment="1">
      <alignment horizontal="center" vertical="center"/>
    </xf>
    <xf numFmtId="0" fontId="0" fillId="7" borderId="137" xfId="0" applyFill="1" applyBorder="1" applyAlignment="1">
      <alignment horizontal="center" vertical="center"/>
    </xf>
    <xf numFmtId="0" fontId="0" fillId="7" borderId="138" xfId="0" applyFill="1" applyBorder="1" applyAlignment="1">
      <alignment horizontal="center" vertical="center"/>
    </xf>
    <xf numFmtId="0" fontId="0" fillId="0" borderId="137" xfId="0" applyBorder="1" applyAlignment="1">
      <alignment horizontal="center" vertical="center"/>
    </xf>
    <xf numFmtId="0" fontId="0" fillId="0" borderId="138" xfId="0" applyBorder="1" applyAlignment="1">
      <alignment horizontal="center" vertical="center"/>
    </xf>
    <xf numFmtId="181" fontId="1" fillId="7" borderId="69" xfId="0" applyNumberFormat="1" applyFont="1" applyFill="1" applyBorder="1" applyAlignment="1" applyProtection="1">
      <alignment vertical="center"/>
      <protection locked="0"/>
    </xf>
    <xf numFmtId="181" fontId="1" fillId="7" borderId="67" xfId="0" applyNumberFormat="1" applyFont="1" applyFill="1" applyBorder="1" applyAlignment="1" applyProtection="1">
      <alignment vertical="center"/>
      <protection locked="0"/>
    </xf>
    <xf numFmtId="0" fontId="1" fillId="0" borderId="139" xfId="0" applyFont="1" applyBorder="1" applyAlignment="1" applyProtection="1">
      <alignment horizontal="distributed" vertical="center" indent="1"/>
      <protection/>
    </xf>
    <xf numFmtId="0" fontId="8" fillId="0" borderId="140" xfId="0" applyFont="1" applyBorder="1" applyAlignment="1" applyProtection="1">
      <alignment horizontal="center" vertical="center"/>
      <protection/>
    </xf>
    <xf numFmtId="0" fontId="1" fillId="7" borderId="69" xfId="0" applyFont="1" applyFill="1" applyBorder="1" applyAlignment="1" applyProtection="1">
      <alignment vertical="center"/>
      <protection locked="0"/>
    </xf>
    <xf numFmtId="181" fontId="1" fillId="7" borderId="65" xfId="0" applyNumberFormat="1" applyFont="1" applyFill="1" applyBorder="1" applyAlignment="1" applyProtection="1">
      <alignment vertical="center"/>
      <protection locked="0"/>
    </xf>
    <xf numFmtId="181" fontId="1" fillId="7" borderId="89" xfId="0" applyNumberFormat="1" applyFont="1" applyFill="1" applyBorder="1" applyAlignment="1" applyProtection="1">
      <alignment vertical="center"/>
      <protection locked="0"/>
    </xf>
    <xf numFmtId="0" fontId="1" fillId="7" borderId="65" xfId="0" applyFont="1" applyFill="1" applyBorder="1" applyAlignment="1" applyProtection="1">
      <alignment vertical="center"/>
      <protection locked="0"/>
    </xf>
    <xf numFmtId="0" fontId="1" fillId="0" borderId="11" xfId="0" applyFont="1" applyBorder="1" applyAlignment="1" applyProtection="1">
      <alignment horizontal="center" vertical="center"/>
      <protection/>
    </xf>
    <xf numFmtId="0" fontId="1" fillId="0" borderId="68" xfId="0" applyFont="1" applyBorder="1" applyAlignment="1" applyProtection="1">
      <alignment horizontal="center" vertical="center" shrinkToFit="1"/>
      <protection/>
    </xf>
    <xf numFmtId="0" fontId="1" fillId="0" borderId="69" xfId="0" applyFont="1" applyBorder="1" applyAlignment="1" applyProtection="1">
      <alignment horizontal="center" vertical="center" shrinkToFit="1"/>
      <protection/>
    </xf>
    <xf numFmtId="0" fontId="5" fillId="0" borderId="107" xfId="0" applyFont="1" applyBorder="1" applyAlignment="1" applyProtection="1">
      <alignment horizontal="center" vertical="center" wrapText="1" shrinkToFit="1"/>
      <protection/>
    </xf>
    <xf numFmtId="0" fontId="5" fillId="0" borderId="65" xfId="0" applyFont="1" applyBorder="1" applyAlignment="1" applyProtection="1">
      <alignment horizontal="center" vertical="center" wrapText="1" shrinkToFit="1"/>
      <protection/>
    </xf>
    <xf numFmtId="0" fontId="5" fillId="0" borderId="107" xfId="0" applyFont="1" applyBorder="1" applyAlignment="1" applyProtection="1">
      <alignment horizontal="center" vertical="center" wrapText="1"/>
      <protection/>
    </xf>
    <xf numFmtId="0" fontId="5" fillId="0" borderId="66" xfId="0" applyFont="1" applyBorder="1" applyAlignment="1" applyProtection="1">
      <alignment horizontal="center" vertical="center" wrapText="1"/>
      <protection/>
    </xf>
    <xf numFmtId="0" fontId="5" fillId="0" borderId="65" xfId="0" applyFont="1" applyBorder="1" applyAlignment="1" applyProtection="1">
      <alignment horizontal="center" vertical="center" wrapText="1"/>
      <protection/>
    </xf>
    <xf numFmtId="0" fontId="5" fillId="0" borderId="89" xfId="0" applyFont="1" applyBorder="1" applyAlignment="1" applyProtection="1">
      <alignment horizontal="center" vertical="center" wrapText="1"/>
      <protection/>
    </xf>
    <xf numFmtId="0" fontId="7" fillId="0" borderId="34" xfId="62" applyFont="1" applyFill="1"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37" xfId="0" applyBorder="1" applyAlignment="1" applyProtection="1">
      <alignment horizontal="center" vertical="center"/>
      <protection/>
    </xf>
    <xf numFmtId="0" fontId="1" fillId="7" borderId="11" xfId="0" applyFont="1" applyFill="1" applyBorder="1" applyAlignment="1" applyProtection="1">
      <alignment horizontal="center" vertical="center"/>
      <protection locked="0"/>
    </xf>
    <xf numFmtId="0" fontId="1" fillId="7" borderId="11" xfId="0" applyFont="1" applyFill="1" applyBorder="1" applyAlignment="1" applyProtection="1">
      <alignment horizontal="center" vertical="center"/>
      <protection locked="0"/>
    </xf>
    <xf numFmtId="0" fontId="1" fillId="7" borderId="139" xfId="0" applyFont="1" applyFill="1" applyBorder="1" applyAlignment="1" applyProtection="1">
      <alignment horizontal="center" vertical="center"/>
      <protection locked="0"/>
    </xf>
    <xf numFmtId="0" fontId="13" fillId="0" borderId="0" xfId="0" applyFont="1" applyAlignment="1" applyProtection="1">
      <alignment horizontal="center" vertical="center"/>
      <protection/>
    </xf>
    <xf numFmtId="0" fontId="5" fillId="0" borderId="49" xfId="68" applyFont="1" applyFill="1" applyBorder="1" applyAlignment="1" applyProtection="1">
      <alignment horizontal="center" vertical="center"/>
      <protection/>
    </xf>
    <xf numFmtId="0" fontId="1" fillId="0" borderId="141" xfId="0" applyFont="1" applyBorder="1" applyAlignment="1" applyProtection="1">
      <alignment horizontal="center" vertical="center"/>
      <protection/>
    </xf>
    <xf numFmtId="0" fontId="1" fillId="0" borderId="107" xfId="0" applyFont="1" applyBorder="1" applyAlignment="1" applyProtection="1">
      <alignment horizontal="center" vertical="center"/>
      <protection/>
    </xf>
    <xf numFmtId="0" fontId="1" fillId="7" borderId="107" xfId="0" applyFont="1" applyFill="1" applyBorder="1" applyAlignment="1" applyProtection="1">
      <alignment horizontal="center" vertical="center"/>
      <protection locked="0"/>
    </xf>
    <xf numFmtId="188" fontId="5" fillId="0" borderId="141" xfId="0" applyNumberFormat="1" applyFont="1" applyBorder="1" applyAlignment="1" applyProtection="1">
      <alignment horizontal="center" vertical="center"/>
      <protection/>
    </xf>
    <xf numFmtId="188" fontId="5" fillId="0" borderId="113" xfId="0" applyNumberFormat="1" applyFont="1" applyBorder="1" applyAlignment="1" applyProtection="1">
      <alignment horizontal="center" vertical="center"/>
      <protection/>
    </xf>
    <xf numFmtId="0" fontId="1" fillId="7" borderId="69" xfId="0" applyFont="1" applyFill="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1" fillId="34" borderId="132" xfId="0" applyFont="1" applyFill="1" applyBorder="1" applyAlignment="1" applyProtection="1">
      <alignment horizontal="center" vertical="center"/>
      <protection/>
    </xf>
    <xf numFmtId="0" fontId="0" fillId="0" borderId="133" xfId="0" applyFont="1" applyBorder="1" applyAlignment="1" applyProtection="1">
      <alignment horizontal="center" vertical="center"/>
      <protection/>
    </xf>
    <xf numFmtId="0" fontId="0" fillId="0" borderId="134" xfId="0" applyFont="1" applyBorder="1" applyAlignment="1" applyProtection="1">
      <alignment horizontal="center" vertical="center"/>
      <protection/>
    </xf>
    <xf numFmtId="0" fontId="0" fillId="0" borderId="142"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43" xfId="0" applyFont="1" applyBorder="1" applyAlignment="1" applyProtection="1">
      <alignment horizontal="center" vertical="center"/>
      <protection/>
    </xf>
    <xf numFmtId="0" fontId="5" fillId="34" borderId="144" xfId="0" applyFont="1" applyFill="1" applyBorder="1" applyAlignment="1" applyProtection="1">
      <alignment horizontal="center" vertical="center"/>
      <protection/>
    </xf>
    <xf numFmtId="0" fontId="5" fillId="34" borderId="145" xfId="0" applyFont="1" applyFill="1" applyBorder="1" applyAlignment="1" applyProtection="1">
      <alignment horizontal="center" vertical="center"/>
      <protection/>
    </xf>
    <xf numFmtId="0" fontId="5" fillId="34" borderId="143" xfId="0" applyFont="1" applyFill="1" applyBorder="1" applyAlignment="1" applyProtection="1">
      <alignment horizontal="center" vertical="center"/>
      <protection/>
    </xf>
    <xf numFmtId="0" fontId="7" fillId="0" borderId="146" xfId="62" applyFont="1" applyFill="1" applyBorder="1" applyAlignment="1" applyProtection="1">
      <alignment horizontal="center" vertical="center" wrapText="1"/>
      <protection/>
    </xf>
    <xf numFmtId="0" fontId="7" fillId="0" borderId="147" xfId="62" applyFont="1" applyFill="1" applyBorder="1" applyAlignment="1" applyProtection="1">
      <alignment horizontal="center" vertical="center"/>
      <protection/>
    </xf>
    <xf numFmtId="0" fontId="7" fillId="0" borderId="148" xfId="62" applyFont="1" applyFill="1" applyBorder="1" applyAlignment="1" applyProtection="1">
      <alignment horizontal="center" vertical="center"/>
      <protection/>
    </xf>
    <xf numFmtId="0" fontId="1" fillId="0" borderId="11" xfId="0" applyFont="1" applyBorder="1" applyAlignment="1" applyProtection="1">
      <alignment horizontal="distributed" vertical="center"/>
      <protection/>
    </xf>
    <xf numFmtId="0" fontId="1" fillId="0" borderId="68" xfId="0" applyFont="1" applyFill="1" applyBorder="1" applyAlignment="1" applyProtection="1">
      <alignment horizontal="center" vertical="center"/>
      <protection/>
    </xf>
    <xf numFmtId="0" fontId="1" fillId="0" borderId="69" xfId="0" applyFont="1" applyFill="1" applyBorder="1" applyAlignment="1" applyProtection="1">
      <alignment horizontal="center" vertical="center"/>
      <protection/>
    </xf>
    <xf numFmtId="0" fontId="1" fillId="6" borderId="69" xfId="0" applyFont="1" applyFill="1" applyBorder="1" applyAlignment="1" applyProtection="1">
      <alignment horizontal="center" vertical="center"/>
      <protection/>
    </xf>
    <xf numFmtId="0" fontId="1" fillId="0" borderId="11" xfId="0" applyFont="1" applyBorder="1" applyAlignment="1" applyProtection="1">
      <alignment horizontal="center" vertical="center"/>
      <protection/>
    </xf>
    <xf numFmtId="0" fontId="1" fillId="6" borderId="139" xfId="0" applyFont="1" applyFill="1" applyBorder="1" applyAlignment="1" applyProtection="1">
      <alignment horizontal="center" vertical="center"/>
      <protection/>
    </xf>
    <xf numFmtId="0" fontId="7" fillId="0" borderId="33" xfId="62" applyFont="1" applyFill="1" applyBorder="1" applyAlignment="1" applyProtection="1">
      <alignment horizontal="center" vertical="center"/>
      <protection/>
    </xf>
    <xf numFmtId="0" fontId="7" fillId="0" borderId="14" xfId="62" applyFont="1" applyFill="1" applyBorder="1" applyAlignment="1" applyProtection="1">
      <alignment horizontal="center" vertical="center"/>
      <protection/>
    </xf>
    <xf numFmtId="0" fontId="7" fillId="0" borderId="36" xfId="62" applyFont="1" applyFill="1" applyBorder="1" applyAlignment="1" applyProtection="1">
      <alignment horizontal="center" vertical="center"/>
      <protection/>
    </xf>
    <xf numFmtId="179" fontId="8" fillId="0" borderId="149" xfId="0" applyNumberFormat="1" applyFont="1" applyBorder="1" applyAlignment="1" applyProtection="1">
      <alignment horizontal="center" vertical="center"/>
      <protection/>
    </xf>
    <xf numFmtId="0" fontId="4" fillId="0" borderId="150" xfId="0" applyFont="1" applyBorder="1" applyAlignment="1" applyProtection="1">
      <alignment horizontal="center" vertical="center"/>
      <protection/>
    </xf>
    <xf numFmtId="0" fontId="4" fillId="0" borderId="151" xfId="0" applyFont="1" applyBorder="1" applyAlignment="1" applyProtection="1">
      <alignment horizontal="center" vertical="center"/>
      <protection/>
    </xf>
    <xf numFmtId="0" fontId="4" fillId="0" borderId="152" xfId="0" applyFont="1" applyBorder="1" applyAlignment="1" applyProtection="1">
      <alignment horizontal="center" vertical="center"/>
      <protection/>
    </xf>
    <xf numFmtId="0" fontId="1" fillId="6" borderId="11" xfId="0" applyFont="1" applyFill="1" applyBorder="1" applyAlignment="1" applyProtection="1">
      <alignment horizontal="center" vertical="center"/>
      <protection/>
    </xf>
    <xf numFmtId="0" fontId="1" fillId="0" borderId="139" xfId="0" applyFont="1" applyBorder="1" applyAlignment="1" applyProtection="1">
      <alignment horizontal="distributed" vertical="center" indent="1"/>
      <protection/>
    </xf>
    <xf numFmtId="0" fontId="1" fillId="0" borderId="107" xfId="0" applyFont="1" applyBorder="1" applyAlignment="1" applyProtection="1">
      <alignment horizontal="center" vertical="center"/>
      <protection/>
    </xf>
    <xf numFmtId="0" fontId="1" fillId="6" borderId="107" xfId="0" applyFont="1" applyFill="1" applyBorder="1" applyAlignment="1" applyProtection="1">
      <alignment horizontal="center" vertical="center"/>
      <protection/>
    </xf>
    <xf numFmtId="182" fontId="8" fillId="0" borderId="131" xfId="0" applyNumberFormat="1" applyFont="1" applyBorder="1" applyAlignment="1" applyProtection="1">
      <alignment horizontal="center" vertical="center"/>
      <protection/>
    </xf>
    <xf numFmtId="0" fontId="12" fillId="37" borderId="0" xfId="0" applyFont="1" applyFill="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4" fillId="0" borderId="11" xfId="0" applyFont="1" applyBorder="1" applyAlignment="1" applyProtection="1">
      <alignment horizontal="center" vertical="center"/>
      <protection/>
    </xf>
    <xf numFmtId="0" fontId="18" fillId="0" borderId="150" xfId="0" applyFont="1" applyFill="1" applyBorder="1" applyAlignment="1" applyProtection="1">
      <alignment horizontal="center" vertical="center"/>
      <protection/>
    </xf>
    <xf numFmtId="0" fontId="18" fillId="0" borderId="151" xfId="0" applyFont="1" applyFill="1" applyBorder="1" applyAlignment="1" applyProtection="1">
      <alignment horizontal="center" vertical="center"/>
      <protection/>
    </xf>
    <xf numFmtId="0" fontId="18" fillId="0" borderId="152" xfId="0" applyFont="1" applyFill="1" applyBorder="1" applyAlignment="1" applyProtection="1">
      <alignment horizontal="center" vertical="center"/>
      <protection/>
    </xf>
    <xf numFmtId="0" fontId="5" fillId="0" borderId="153" xfId="0" applyFont="1" applyBorder="1" applyAlignment="1" applyProtection="1">
      <alignment horizontal="center" vertical="center" shrinkToFit="1"/>
      <protection/>
    </xf>
    <xf numFmtId="0" fontId="5" fillId="0" borderId="154" xfId="0" applyFont="1" applyBorder="1" applyAlignment="1" applyProtection="1">
      <alignment horizontal="center" vertical="center" shrinkToFit="1"/>
      <protection/>
    </xf>
    <xf numFmtId="0" fontId="5" fillId="0" borderId="155" xfId="0" applyFont="1" applyBorder="1" applyAlignment="1" applyProtection="1">
      <alignment horizontal="center" vertical="center" shrinkToFit="1"/>
      <protection/>
    </xf>
    <xf numFmtId="0" fontId="5" fillId="0" borderId="156" xfId="0" applyFont="1" applyBorder="1" applyAlignment="1" applyProtection="1">
      <alignment horizontal="center" vertical="center" shrinkToFit="1"/>
      <protection/>
    </xf>
    <xf numFmtId="0" fontId="1" fillId="0" borderId="139" xfId="0" applyFont="1" applyBorder="1" applyAlignment="1" applyProtection="1">
      <alignment horizontal="center" vertical="center"/>
      <protection/>
    </xf>
    <xf numFmtId="0" fontId="4" fillId="0" borderId="141" xfId="0" applyFont="1" applyBorder="1" applyAlignment="1" applyProtection="1">
      <alignment horizontal="center" vertical="center"/>
      <protection/>
    </xf>
    <xf numFmtId="0" fontId="4" fillId="0" borderId="107" xfId="0" applyFont="1" applyBorder="1" applyAlignment="1" applyProtection="1">
      <alignment horizontal="center" vertical="center"/>
      <protection/>
    </xf>
    <xf numFmtId="0" fontId="4" fillId="0" borderId="68" xfId="0" applyFont="1" applyBorder="1" applyAlignment="1" applyProtection="1">
      <alignment horizontal="center" vertical="center" shrinkToFit="1"/>
      <protection/>
    </xf>
    <xf numFmtId="0" fontId="4" fillId="0" borderId="69" xfId="0" applyFont="1" applyBorder="1" applyAlignment="1" applyProtection="1">
      <alignment horizontal="center" vertical="center" shrinkToFit="1"/>
      <protection/>
    </xf>
    <xf numFmtId="0" fontId="4" fillId="0" borderId="69" xfId="0" applyFont="1" applyBorder="1" applyAlignment="1" applyProtection="1">
      <alignment horizontal="center" vertical="center"/>
      <protection/>
    </xf>
    <xf numFmtId="0" fontId="8" fillId="0" borderId="131" xfId="0" applyFont="1" applyBorder="1" applyAlignment="1" applyProtection="1">
      <alignment horizontal="center" vertical="center"/>
      <protection locked="0"/>
    </xf>
    <xf numFmtId="181" fontId="4" fillId="0" borderId="65" xfId="0" applyNumberFormat="1" applyFont="1" applyFill="1" applyBorder="1" applyAlignment="1" applyProtection="1">
      <alignment horizontal="right" vertical="center"/>
      <protection/>
    </xf>
    <xf numFmtId="0" fontId="5" fillId="0" borderId="11" xfId="0" applyFont="1" applyBorder="1" applyAlignment="1" applyProtection="1">
      <alignment horizontal="center" vertical="center" wrapText="1" shrinkToFit="1"/>
      <protection/>
    </xf>
    <xf numFmtId="0" fontId="5" fillId="0" borderId="0"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1" fillId="6" borderId="65" xfId="0" applyFont="1" applyFill="1" applyBorder="1" applyAlignment="1" applyProtection="1">
      <alignment horizontal="center" vertical="center"/>
      <protection/>
    </xf>
    <xf numFmtId="0" fontId="1" fillId="6" borderId="11" xfId="0" applyFont="1" applyFill="1" applyBorder="1" applyAlignment="1" applyProtection="1">
      <alignment horizontal="center" vertical="center"/>
      <protection/>
    </xf>
    <xf numFmtId="0" fontId="5" fillId="0" borderId="11" xfId="0" applyFont="1" applyBorder="1" applyAlignment="1" applyProtection="1">
      <alignment horizontal="center" vertical="center" wrapText="1"/>
      <protection/>
    </xf>
    <xf numFmtId="2" fontId="1" fillId="0" borderId="65" xfId="0" applyNumberFormat="1" applyFont="1" applyFill="1" applyBorder="1" applyAlignment="1" applyProtection="1">
      <alignment vertical="center"/>
      <protection/>
    </xf>
    <xf numFmtId="0" fontId="5" fillId="0" borderId="157" xfId="0" applyFont="1" applyBorder="1" applyAlignment="1" applyProtection="1">
      <alignment horizontal="center" vertical="center"/>
      <protection/>
    </xf>
    <xf numFmtId="0" fontId="5" fillId="0" borderId="158" xfId="0" applyFont="1" applyBorder="1" applyAlignment="1" applyProtection="1">
      <alignment horizontal="center" vertical="center"/>
      <protection/>
    </xf>
    <xf numFmtId="0" fontId="5" fillId="0" borderId="159" xfId="0" applyFont="1" applyBorder="1" applyAlignment="1" applyProtection="1">
      <alignment horizontal="center" vertical="center"/>
      <protection/>
    </xf>
    <xf numFmtId="0" fontId="5" fillId="0" borderId="160" xfId="0" applyFont="1" applyBorder="1" applyAlignment="1" applyProtection="1">
      <alignment horizontal="center" vertical="center"/>
      <protection/>
    </xf>
    <xf numFmtId="0" fontId="5" fillId="0" borderId="161" xfId="0" applyFont="1" applyBorder="1" applyAlignment="1" applyProtection="1">
      <alignment horizontal="center" vertical="center"/>
      <protection/>
    </xf>
    <xf numFmtId="0" fontId="5" fillId="0" borderId="162" xfId="0" applyFont="1" applyBorder="1" applyAlignment="1" applyProtection="1">
      <alignment horizontal="center" vertical="center"/>
      <protection/>
    </xf>
    <xf numFmtId="0" fontId="5" fillId="33" borderId="163" xfId="0" applyFont="1" applyFill="1" applyBorder="1" applyAlignment="1" applyProtection="1">
      <alignment horizontal="center" vertical="center"/>
      <protection/>
    </xf>
    <xf numFmtId="0" fontId="5" fillId="33" borderId="164" xfId="0" applyFont="1" applyFill="1" applyBorder="1" applyAlignment="1" applyProtection="1">
      <alignment horizontal="center" vertical="center"/>
      <protection/>
    </xf>
    <xf numFmtId="0" fontId="5" fillId="33" borderId="165" xfId="0" applyFont="1" applyFill="1" applyBorder="1" applyAlignment="1" applyProtection="1">
      <alignment horizontal="center" vertical="center"/>
      <protection/>
    </xf>
    <xf numFmtId="181" fontId="1" fillId="6" borderId="65" xfId="0" applyNumberFormat="1" applyFont="1" applyFill="1" applyBorder="1" applyAlignment="1" applyProtection="1">
      <alignment vertical="center"/>
      <protection/>
    </xf>
    <xf numFmtId="182" fontId="4" fillId="0" borderId="65" xfId="0" applyNumberFormat="1" applyFont="1" applyBorder="1" applyAlignment="1" applyProtection="1">
      <alignment horizontal="right" vertical="center"/>
      <protection/>
    </xf>
    <xf numFmtId="0" fontId="5" fillId="33" borderId="166" xfId="0" applyFont="1" applyFill="1" applyBorder="1" applyAlignment="1" applyProtection="1">
      <alignment horizontal="center" vertical="center"/>
      <protection/>
    </xf>
    <xf numFmtId="0" fontId="5" fillId="33" borderId="167" xfId="0" applyFont="1" applyFill="1" applyBorder="1" applyAlignment="1" applyProtection="1">
      <alignment horizontal="center" vertical="center"/>
      <protection/>
    </xf>
    <xf numFmtId="0" fontId="5" fillId="33" borderId="168" xfId="0" applyFont="1" applyFill="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65" xfId="0" applyFont="1" applyBorder="1" applyAlignment="1" applyProtection="1">
      <alignment horizontal="center" vertical="center"/>
      <protection/>
    </xf>
    <xf numFmtId="0" fontId="5" fillId="0" borderId="65"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69" xfId="0" applyFont="1" applyBorder="1" applyAlignment="1" applyProtection="1">
      <alignment horizontal="center" vertical="center"/>
      <protection/>
    </xf>
    <xf numFmtId="0" fontId="1" fillId="0" borderId="65" xfId="0" applyFont="1" applyBorder="1" applyAlignment="1" applyProtection="1">
      <alignment horizontal="center" vertical="center"/>
      <protection/>
    </xf>
    <xf numFmtId="0" fontId="8" fillId="0" borderId="170" xfId="0" applyFont="1" applyBorder="1" applyAlignment="1" applyProtection="1">
      <alignment horizontal="center" vertical="center"/>
      <protection locked="0"/>
    </xf>
    <xf numFmtId="0" fontId="1" fillId="6" borderId="65" xfId="0" applyFont="1" applyFill="1" applyBorder="1" applyAlignment="1" applyProtection="1">
      <alignment vertical="center"/>
      <protection/>
    </xf>
    <xf numFmtId="0" fontId="1" fillId="7" borderId="11" xfId="0" applyFont="1" applyFill="1" applyBorder="1" applyAlignment="1" applyProtection="1">
      <alignment horizontal="center" vertical="center"/>
      <protection/>
    </xf>
    <xf numFmtId="0" fontId="1" fillId="7" borderId="139" xfId="0" applyFont="1" applyFill="1" applyBorder="1" applyAlignment="1" applyProtection="1">
      <alignment horizontal="center" vertical="center"/>
      <protection/>
    </xf>
    <xf numFmtId="0" fontId="1" fillId="7" borderId="65" xfId="0" applyFont="1" applyFill="1" applyBorder="1" applyAlignment="1" applyProtection="1">
      <alignment vertical="center"/>
      <protection/>
    </xf>
    <xf numFmtId="181" fontId="1" fillId="7" borderId="65" xfId="0" applyNumberFormat="1" applyFont="1" applyFill="1" applyBorder="1" applyAlignment="1" applyProtection="1">
      <alignment vertical="center"/>
      <protection/>
    </xf>
    <xf numFmtId="181" fontId="1" fillId="7" borderId="89" xfId="0" applyNumberFormat="1" applyFont="1" applyFill="1" applyBorder="1" applyAlignment="1" applyProtection="1">
      <alignment vertical="center"/>
      <protection/>
    </xf>
    <xf numFmtId="0" fontId="1" fillId="7" borderId="107" xfId="0" applyFont="1" applyFill="1" applyBorder="1" applyAlignment="1" applyProtection="1">
      <alignment horizontal="center" vertical="center"/>
      <protection/>
    </xf>
    <xf numFmtId="0" fontId="1" fillId="0" borderId="68" xfId="0" applyFont="1" applyBorder="1" applyAlignment="1" applyProtection="1">
      <alignment horizontal="center" vertical="center" shrinkToFit="1"/>
      <protection/>
    </xf>
    <xf numFmtId="0" fontId="1" fillId="0" borderId="69" xfId="0" applyFont="1" applyBorder="1" applyAlignment="1" applyProtection="1">
      <alignment horizontal="center" vertical="center" shrinkToFit="1"/>
      <protection/>
    </xf>
    <xf numFmtId="0" fontId="1" fillId="7" borderId="69" xfId="0" applyFont="1" applyFill="1" applyBorder="1" applyAlignment="1" applyProtection="1">
      <alignment horizontal="center" vertical="center"/>
      <protection/>
    </xf>
    <xf numFmtId="0" fontId="1" fillId="7" borderId="69" xfId="0" applyFont="1" applyFill="1" applyBorder="1" applyAlignment="1" applyProtection="1">
      <alignment vertical="center"/>
      <protection/>
    </xf>
    <xf numFmtId="181" fontId="1" fillId="7" borderId="69" xfId="0" applyNumberFormat="1" applyFont="1" applyFill="1" applyBorder="1" applyAlignment="1" applyProtection="1">
      <alignment vertical="center"/>
      <protection/>
    </xf>
    <xf numFmtId="181" fontId="1" fillId="7" borderId="67" xfId="0" applyNumberFormat="1" applyFont="1" applyFill="1" applyBorder="1" applyAlignment="1" applyProtection="1">
      <alignment vertical="center"/>
      <protection/>
    </xf>
    <xf numFmtId="182" fontId="8" fillId="0" borderId="131" xfId="0" applyNumberFormat="1" applyFont="1" applyBorder="1" applyAlignment="1" applyProtection="1">
      <alignment horizontal="center" vertical="center"/>
      <protection locked="0"/>
    </xf>
    <xf numFmtId="179" fontId="8" fillId="0" borderId="149" xfId="0" applyNumberFormat="1"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6" borderId="11" xfId="0" applyFont="1" applyFill="1" applyBorder="1" applyAlignment="1" applyProtection="1">
      <alignment horizontal="center" vertical="center"/>
      <protection locked="0"/>
    </xf>
    <xf numFmtId="0" fontId="1" fillId="0" borderId="139" xfId="0" applyFont="1" applyBorder="1" applyAlignment="1" applyProtection="1">
      <alignment horizontal="distributed" vertical="center" indent="1"/>
      <protection locked="0"/>
    </xf>
    <xf numFmtId="0" fontId="1" fillId="6" borderId="139" xfId="0" applyFont="1" applyFill="1" applyBorder="1" applyAlignment="1" applyProtection="1">
      <alignment horizontal="center" vertical="center"/>
      <protection locked="0"/>
    </xf>
    <xf numFmtId="0" fontId="4" fillId="0" borderId="150" xfId="0" applyFont="1" applyBorder="1" applyAlignment="1" applyProtection="1">
      <alignment horizontal="center" vertical="center"/>
      <protection locked="0"/>
    </xf>
    <xf numFmtId="0" fontId="4" fillId="0" borderId="151" xfId="0" applyFont="1" applyBorder="1" applyAlignment="1" applyProtection="1">
      <alignment horizontal="center" vertical="center"/>
      <protection locked="0"/>
    </xf>
    <xf numFmtId="0" fontId="4" fillId="0" borderId="152" xfId="0" applyFont="1" applyBorder="1" applyAlignment="1" applyProtection="1">
      <alignment horizontal="center" vertical="center"/>
      <protection locked="0"/>
    </xf>
    <xf numFmtId="0" fontId="1" fillId="0" borderId="141" xfId="0" applyFont="1" applyBorder="1" applyAlignment="1" applyProtection="1">
      <alignment horizontal="center" vertical="center"/>
      <protection locked="0"/>
    </xf>
    <xf numFmtId="0" fontId="1" fillId="0" borderId="107" xfId="0" applyFont="1" applyBorder="1" applyAlignment="1" applyProtection="1">
      <alignment horizontal="center" vertical="center"/>
      <protection locked="0"/>
    </xf>
    <xf numFmtId="0" fontId="1" fillId="6" borderId="107" xfId="0" applyFont="1" applyFill="1" applyBorder="1" applyAlignment="1" applyProtection="1">
      <alignment horizontal="center" vertical="center"/>
      <protection locked="0"/>
    </xf>
    <xf numFmtId="0" fontId="1" fillId="0" borderId="68" xfId="0" applyFont="1" applyFill="1" applyBorder="1" applyAlignment="1" applyProtection="1">
      <alignment horizontal="center" vertical="center"/>
      <protection locked="0"/>
    </xf>
    <xf numFmtId="0" fontId="1" fillId="0" borderId="69" xfId="0" applyFont="1" applyFill="1" applyBorder="1" applyAlignment="1" applyProtection="1">
      <alignment horizontal="center" vertical="center"/>
      <protection locked="0"/>
    </xf>
    <xf numFmtId="0" fontId="1" fillId="6" borderId="69" xfId="0" applyFont="1" applyFill="1" applyBorder="1" applyAlignment="1" applyProtection="1">
      <alignment horizontal="center" vertical="center"/>
      <protection locked="0"/>
    </xf>
    <xf numFmtId="0" fontId="1" fillId="0" borderId="11" xfId="0" applyFont="1" applyBorder="1" applyAlignment="1" applyProtection="1">
      <alignment horizontal="distributed" vertical="center"/>
      <protection locked="0"/>
    </xf>
    <xf numFmtId="0" fontId="1" fillId="34" borderId="132" xfId="0" applyFont="1" applyFill="1" applyBorder="1" applyAlignment="1" applyProtection="1">
      <alignment horizontal="center" vertical="center"/>
      <protection locked="0"/>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42" xfId="0" applyFont="1" applyBorder="1" applyAlignment="1">
      <alignment horizontal="center" vertical="center"/>
    </xf>
    <xf numFmtId="0" fontId="0" fillId="0" borderId="11" xfId="0" applyFont="1" applyBorder="1" applyAlignment="1">
      <alignment horizontal="center" vertical="center"/>
    </xf>
    <xf numFmtId="0" fontId="0" fillId="0" borderId="143" xfId="0" applyFont="1" applyBorder="1" applyAlignment="1">
      <alignment horizontal="center" vertical="center"/>
    </xf>
    <xf numFmtId="0" fontId="5" fillId="34" borderId="144" xfId="0" applyFont="1" applyFill="1" applyBorder="1" applyAlignment="1" applyProtection="1">
      <alignment horizontal="center" vertical="center"/>
      <protection locked="0"/>
    </xf>
    <xf numFmtId="0" fontId="5" fillId="34" borderId="145" xfId="0" applyFont="1" applyFill="1" applyBorder="1" applyAlignment="1" applyProtection="1">
      <alignment horizontal="center" vertical="center"/>
      <protection locked="0"/>
    </xf>
    <xf numFmtId="0" fontId="5" fillId="34" borderId="143" xfId="0" applyFont="1" applyFill="1" applyBorder="1" applyAlignment="1" applyProtection="1">
      <alignment horizontal="center" vertical="center"/>
      <protection locked="0"/>
    </xf>
    <xf numFmtId="0" fontId="1" fillId="0" borderId="65" xfId="0" applyFont="1" applyBorder="1" applyAlignment="1" applyProtection="1">
      <alignment horizontal="center"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標準 6" xfId="67"/>
    <cellStyle name="標準_Sheet1" xfId="68"/>
    <cellStyle name="Followed Hyperlink" xfId="69"/>
    <cellStyle name="良い" xfId="70"/>
  </cellStyles>
  <dxfs count="5">
    <dxf>
      <fill>
        <patternFill>
          <bgColor theme="8" tint="0.3999499976634979"/>
        </patternFill>
      </fill>
    </dxf>
    <dxf>
      <fill>
        <patternFill>
          <bgColor theme="8" tint="0.3999499976634979"/>
        </patternFill>
      </fill>
    </dxf>
    <dxf>
      <fill>
        <patternFill>
          <bgColor theme="8" tint="0.3999499976634979"/>
        </patternFill>
      </fill>
    </dxf>
    <dxf>
      <fill>
        <patternFill>
          <bgColor theme="8" tint="0.3999499976634979"/>
        </patternFill>
      </fill>
    </dxf>
    <dxf>
      <fill>
        <patternFill>
          <bgColor theme="8"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プレゼン!$I$10</c:f>
        </c:strRef>
      </c:tx>
      <c:layout>
        <c:manualLayout>
          <c:xMode val="factor"/>
          <c:yMode val="factor"/>
          <c:x val="0.00525"/>
          <c:y val="0.01025"/>
        </c:manualLayout>
      </c:layout>
      <c:spPr>
        <a:noFill/>
        <a:ln w="3175">
          <a:noFill/>
        </a:ln>
      </c:spPr>
      <c:txPr>
        <a:bodyPr vert="horz" rot="0"/>
        <a:lstStyle/>
        <a:p>
          <a:pPr>
            <a:defRPr lang="en-US" cap="none" sz="900" b="0" i="0" u="none" baseline="0">
              <a:solidFill>
                <a:srgbClr val="000000"/>
              </a:solidFill>
            </a:defRPr>
          </a:pPr>
        </a:p>
      </c:txPr>
    </c:title>
    <c:plotArea>
      <c:layout>
        <c:manualLayout>
          <c:xMode val="edge"/>
          <c:yMode val="edge"/>
          <c:x val="0.10725"/>
          <c:y val="0.08225"/>
          <c:w val="0.85825"/>
          <c:h val="0.9005"/>
        </c:manualLayout>
      </c:layout>
      <c:barChart>
        <c:barDir val="bar"/>
        <c:grouping val="clustered"/>
        <c:varyColors val="0"/>
        <c:ser>
          <c:idx val="0"/>
          <c:order val="0"/>
          <c:spPr>
            <a:solidFill>
              <a:srgbClr val="4F81BD"/>
            </a:solidFill>
            <a:ln w="3175">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numRef>
              <c:f>プレゼン!$C$14:$C$53</c:f>
              <c:numCache/>
            </c:numRef>
          </c:cat>
          <c:val>
            <c:numRef>
              <c:f>'液状化抑制効果計算'!$AO$15:$AO$54</c:f>
              <c:numCache>
                <c:ptCount val="40"/>
                <c:pt idx="0">
                  <c:v>0</c:v>
                </c:pt>
                <c:pt idx="1">
                  <c:v>0</c:v>
                </c:pt>
                <c:pt idx="2">
                  <c:v>0</c:v>
                </c:pt>
                <c:pt idx="3">
                  <c:v>0</c:v>
                </c:pt>
                <c:pt idx="4">
                  <c:v>0</c:v>
                </c:pt>
                <c:pt idx="5">
                  <c:v>0</c:v>
                </c:pt>
                <c:pt idx="6">
                  <c:v>0.6507323285369546</c:v>
                </c:pt>
                <c:pt idx="7">
                  <c:v>0.5029953845847144</c:v>
                </c:pt>
                <c:pt idx="8">
                  <c:v>0.03251139953076665</c:v>
                </c:pt>
                <c:pt idx="9">
                  <c:v>0</c:v>
                </c:pt>
                <c:pt idx="10">
                  <c:v>0</c:v>
                </c:pt>
                <c:pt idx="11">
                  <c:v>0</c:v>
                </c:pt>
                <c:pt idx="12">
                  <c:v>0</c:v>
                </c:pt>
                <c:pt idx="13">
                  <c:v>0</c:v>
                </c:pt>
                <c:pt idx="14">
                  <c:v>0</c:v>
                </c:pt>
                <c:pt idx="15">
                  <c:v>0</c:v>
                </c:pt>
                <c:pt idx="16">
                  <c:v>0</c:v>
                </c:pt>
                <c:pt idx="17">
                  <c:v>0</c:v>
                </c:pt>
                <c:pt idx="18">
                  <c:v>0</c:v>
                </c:pt>
                <c:pt idx="19">
                  <c:v>0</c:v>
                </c:pt>
                <c:pt idx="20">
                  <c:v>0</c:v>
                </c:pt>
                <c:pt idx="21">
                  <c:v>0</c:v>
                </c:pt>
                <c:pt idx="22">
                  <c:v>0.7062872293217792</c:v>
                </c:pt>
                <c:pt idx="23">
                  <c:v>0.5966978127290963</c:v>
                </c:pt>
                <c:pt idx="24">
                  <c:v>0.5033994155689736</c:v>
                </c:pt>
                <c:pt idx="25">
                  <c:v>0.42350767897450425</c:v>
                </c:pt>
                <c:pt idx="26">
                  <c:v>0.35473820677810686</c:v>
                </c:pt>
                <c:pt idx="27">
                  <c:v>0.29526585148238027</c:v>
                </c:pt>
                <c:pt idx="28">
                  <c:v>39.42048351195144</c:v>
                </c:pt>
                <c:pt idx="29">
                  <c:v>35.49041068037742</c:v>
                </c:pt>
                <c:pt idx="30">
                  <c:v>32.07623984917301</c:v>
                </c:pt>
                <c:pt idx="31">
                  <c:v>29.09636894605894</c:v>
                </c:pt>
                <c:pt idx="32">
                  <c:v>26.484152725732883</c:v>
                </c:pt>
                <c:pt idx="33">
                  <c:v>24.184812867281288</c:v>
                </c:pt>
                <c:pt idx="34">
                  <c:v>0</c:v>
                </c:pt>
                <c:pt idx="35">
                  <c:v>0</c:v>
                </c:pt>
                <c:pt idx="36">
                  <c:v>0</c:v>
                </c:pt>
                <c:pt idx="37">
                  <c:v>0</c:v>
                </c:pt>
                <c:pt idx="38">
                  <c:v>0</c:v>
                </c:pt>
                <c:pt idx="39">
                  <c:v>0</c:v>
                </c:pt>
              </c:numCache>
            </c:numRef>
          </c:val>
        </c:ser>
        <c:ser>
          <c:idx val="1"/>
          <c:order val="1"/>
          <c:spPr>
            <a:solidFill>
              <a:srgbClr val="C0504D"/>
            </a:solidFill>
            <a:ln w="3175">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プレゼン!$C$14:$C$53</c:f>
              <c:numCache/>
            </c:numRef>
          </c:cat>
          <c:val>
            <c:numRef>
              <c:f>'液状化抑制効果計算'!$AP$15:$AP$54</c:f>
              <c:numCache>
                <c:ptCount val="40"/>
                <c:pt idx="0">
                  <c:v>0</c:v>
                </c:pt>
                <c:pt idx="1">
                  <c:v>0</c:v>
                </c:pt>
                <c:pt idx="2">
                  <c:v>0</c:v>
                </c:pt>
                <c:pt idx="3">
                  <c:v>0</c:v>
                </c:pt>
                <c:pt idx="4">
                  <c:v>0</c:v>
                </c:pt>
                <c:pt idx="5">
                  <c:v>0</c:v>
                </c:pt>
                <c:pt idx="6">
                  <c:v>0</c:v>
                </c:pt>
                <c:pt idx="7">
                  <c:v>0</c:v>
                </c:pt>
                <c:pt idx="8">
                  <c:v>0</c:v>
                </c:pt>
                <c:pt idx="9">
                  <c:v>-0.039437957276558855</c:v>
                </c:pt>
                <c:pt idx="10">
                  <c:v>-0.09582327660531653</c:v>
                </c:pt>
                <c:pt idx="11">
                  <c:v>-0.14096404357771286</c:v>
                </c:pt>
                <c:pt idx="12">
                  <c:v>-0.09644862628017548</c:v>
                </c:pt>
                <c:pt idx="13">
                  <c:v>-0.13520036688716386</c:v>
                </c:pt>
                <c:pt idx="14">
                  <c:v>-0.16711778044863368</c:v>
                </c:pt>
                <c:pt idx="15">
                  <c:v>-0.1937026307544728</c:v>
                </c:pt>
                <c:pt idx="16">
                  <c:v>-0.21604696457138273</c:v>
                </c:pt>
                <c:pt idx="17">
                  <c:v>-0.23496250073659664</c:v>
                </c:pt>
                <c:pt idx="18">
                  <c:v>-0.37613460176585023</c:v>
                </c:pt>
                <c:pt idx="19">
                  <c:v>-0.3817198411822841</c:v>
                </c:pt>
                <c:pt idx="20">
                  <c:v>-0.37165269386187516</c:v>
                </c:pt>
                <c:pt idx="21">
                  <c:v>-0.3755790618765644</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er>
        <c:overlap val="95"/>
        <c:gapWidth val="0"/>
        <c:axId val="16030289"/>
        <c:axId val="10054874"/>
      </c:barChart>
      <c:lineChart>
        <c:grouping val="standard"/>
        <c:varyColors val="0"/>
        <c:ser>
          <c:idx val="2"/>
          <c:order val="2"/>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'液状化抑制効果計算'!$AW$15:$AW$54</c:f>
              <c:numCache>
                <c:ptCount val="4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numCache>
            </c:numRef>
          </c:val>
          <c:smooth val="0"/>
        </c:ser>
        <c:ser>
          <c:idx val="3"/>
          <c:order val="3"/>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'液状化抑制効果計算'!$AX$15:$AX$54</c:f>
              <c:numCache>
                <c:ptCount val="40"/>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numCache>
            </c:numRef>
          </c:val>
          <c:smooth val="0"/>
        </c:ser>
        <c:axId val="23385003"/>
        <c:axId val="9138436"/>
      </c:lineChart>
      <c:catAx>
        <c:axId val="16030289"/>
        <c:scaling>
          <c:orientation val="maxMin"/>
        </c:scaling>
        <c:axPos val="l"/>
        <c:title>
          <c:tx>
            <c:rich>
              <a:bodyPr vert="horz" rot="-5400000" anchor="ctr"/>
              <a:lstStyle/>
              <a:p>
                <a:pPr algn="ctr">
                  <a:defRPr/>
                </a:pPr>
                <a:r>
                  <a:rPr lang="en-US" cap="none" sz="900" b="0" i="0" u="none" baseline="0">
                    <a:solidFill>
                      <a:srgbClr val="000000"/>
                    </a:solidFill>
                  </a:rPr>
                  <a:t>深度</a:t>
                </a:r>
                <a:r>
                  <a:rPr lang="en-US" cap="none" sz="900" b="0" i="0" u="none" baseline="0">
                    <a:solidFill>
                      <a:srgbClr val="000000"/>
                    </a:solidFill>
                    <a:latin typeface="Calibri"/>
                    <a:ea typeface="Calibri"/>
                    <a:cs typeface="Calibri"/>
                  </a:rPr>
                  <a:t>(m)</a:t>
                </a:r>
              </a:p>
            </c:rich>
          </c:tx>
          <c:layout>
            <c:manualLayout>
              <c:xMode val="factor"/>
              <c:yMode val="factor"/>
              <c:x val="0.0075"/>
              <c:y val="-0.006"/>
            </c:manualLayout>
          </c:layout>
          <c:overlay val="0"/>
          <c:spPr>
            <a:noFill/>
            <a:ln w="3175">
              <a:noFill/>
            </a:ln>
          </c:spPr>
        </c:title>
        <c:delete val="0"/>
        <c:numFmt formatCode="General" sourceLinked="1"/>
        <c:majorTickMark val="in"/>
        <c:minorTickMark val="none"/>
        <c:tickLblPos val="low"/>
        <c:spPr>
          <a:ln w="3175">
            <a:solidFill>
              <a:srgbClr val="808080"/>
            </a:solidFill>
          </a:ln>
        </c:spPr>
        <c:txPr>
          <a:bodyPr vert="horz" rot="0"/>
          <a:lstStyle/>
          <a:p>
            <a:pPr>
              <a:defRPr lang="en-US" cap="none" sz="800" b="0" i="0" u="none" baseline="0">
                <a:solidFill>
                  <a:srgbClr val="000000"/>
                </a:solidFill>
              </a:defRPr>
            </a:pPr>
          </a:p>
        </c:txPr>
        <c:crossAx val="10054874"/>
        <c:crosses val="autoZero"/>
        <c:auto val="1"/>
        <c:lblOffset val="100"/>
        <c:tickLblSkip val="1"/>
        <c:noMultiLvlLbl val="0"/>
      </c:catAx>
      <c:valAx>
        <c:axId val="10054874"/>
        <c:scaling>
          <c:orientation val="minMax"/>
          <c:max val="1"/>
          <c:min val="-1"/>
        </c:scaling>
        <c:axPos val="t"/>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16030289"/>
        <c:crossesAt val="1"/>
        <c:crossBetween val="between"/>
        <c:dispUnits/>
        <c:majorUnit val="1"/>
      </c:valAx>
      <c:catAx>
        <c:axId val="23385003"/>
        <c:scaling>
          <c:orientation val="minMax"/>
        </c:scaling>
        <c:axPos val="t"/>
        <c:delete val="0"/>
        <c:numFmt formatCode="General" sourceLinked="1"/>
        <c:majorTickMark val="none"/>
        <c:minorTickMark val="none"/>
        <c:tickLblPos val="none"/>
        <c:spPr>
          <a:ln w="3175">
            <a:solidFill>
              <a:srgbClr val="808080"/>
            </a:solidFill>
          </a:ln>
        </c:spPr>
        <c:crossAx val="9138436"/>
        <c:crosses val="max"/>
        <c:auto val="1"/>
        <c:lblOffset val="100"/>
        <c:tickLblSkip val="1"/>
        <c:noMultiLvlLbl val="0"/>
      </c:catAx>
      <c:valAx>
        <c:axId val="9138436"/>
        <c:scaling>
          <c:orientation val="maxMin"/>
          <c:max val="20"/>
          <c:min val="0"/>
        </c:scaling>
        <c:axPos val="l"/>
        <c:delete val="0"/>
        <c:numFmt formatCode="General" sourceLinked="1"/>
        <c:majorTickMark val="none"/>
        <c:minorTickMark val="none"/>
        <c:tickLblPos val="none"/>
        <c:spPr>
          <a:ln w="3175">
            <a:solidFill>
              <a:srgbClr val="808080"/>
            </a:solidFill>
          </a:ln>
        </c:spPr>
        <c:crossAx val="23385003"/>
        <c:crosses val="max"/>
        <c:crossBetween val="between"/>
        <c:dispUnits/>
      </c:valAx>
      <c:spPr>
        <a:solidFill>
          <a:srgbClr val="E7E7E7"/>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プレゼン!$L$10</c:f>
        </c:strRef>
      </c:tx>
      <c:layout>
        <c:manualLayout>
          <c:xMode val="factor"/>
          <c:yMode val="factor"/>
          <c:x val="-0.01025"/>
          <c:y val="0.01025"/>
        </c:manualLayout>
      </c:layout>
      <c:spPr>
        <a:noFill/>
        <a:ln w="3175">
          <a:noFill/>
        </a:ln>
      </c:spPr>
      <c:txPr>
        <a:bodyPr vert="horz" rot="0"/>
        <a:lstStyle/>
        <a:p>
          <a:pPr>
            <a:defRPr lang="en-US" cap="none" sz="900" b="0" i="0" u="none" baseline="0">
              <a:solidFill>
                <a:srgbClr val="000000"/>
              </a:solidFill>
            </a:defRPr>
          </a:pPr>
        </a:p>
      </c:txPr>
    </c:title>
    <c:plotArea>
      <c:layout>
        <c:manualLayout>
          <c:xMode val="edge"/>
          <c:yMode val="edge"/>
          <c:x val="0.111"/>
          <c:y val="0.083"/>
          <c:w val="0.8535"/>
          <c:h val="0.9025"/>
        </c:manualLayout>
      </c:layout>
      <c:barChart>
        <c:barDir val="bar"/>
        <c:grouping val="clustered"/>
        <c:varyColors val="0"/>
        <c:ser>
          <c:idx val="0"/>
          <c:order val="0"/>
          <c:spPr>
            <a:solidFill>
              <a:srgbClr val="4F81BD"/>
            </a:solidFill>
            <a:ln w="3175">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numRef>
              <c:f>プレゼン!$C$14:$C$53</c:f>
              <c:numCache/>
            </c:numRef>
          </c:cat>
          <c:val>
            <c:numRef>
              <c:f>'液状化抑制効果計算'!$AR$15:$AR$54</c:f>
              <c:numCache>
                <c:ptCount val="40"/>
                <c:pt idx="0">
                  <c:v>0</c:v>
                </c:pt>
                <c:pt idx="1">
                  <c:v>0</c:v>
                </c:pt>
                <c:pt idx="2">
                  <c:v>0</c:v>
                </c:pt>
                <c:pt idx="3">
                  <c:v>0</c:v>
                </c:pt>
                <c:pt idx="4">
                  <c:v>0</c:v>
                </c:pt>
                <c:pt idx="5">
                  <c:v>0</c:v>
                </c:pt>
                <c:pt idx="6">
                  <c:v>0.16095460468533052</c:v>
                </c:pt>
                <c:pt idx="7">
                  <c:v>0.05705169904859031</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0.20002618325927335</c:v>
                </c:pt>
                <c:pt idx="23">
                  <c:v>0.12295230785343025</c:v>
                </c:pt>
                <c:pt idx="24">
                  <c:v>0.05733585270784958</c:v>
                </c:pt>
                <c:pt idx="25">
                  <c:v>0.0011482577403105765</c:v>
                </c:pt>
                <c:pt idx="26">
                  <c:v>0</c:v>
                </c:pt>
                <c:pt idx="27">
                  <c:v>0</c:v>
                </c:pt>
                <c:pt idx="28">
                  <c:v>27.427592799614196</c:v>
                </c:pt>
                <c:pt idx="29">
                  <c:v>24.663585533452256</c:v>
                </c:pt>
                <c:pt idx="30">
                  <c:v>22.26241044337442</c:v>
                </c:pt>
                <c:pt idx="31">
                  <c:v>20.166677060964528</c:v>
                </c:pt>
                <c:pt idx="32">
                  <c:v>18.329514004911037</c:v>
                </c:pt>
                <c:pt idx="33">
                  <c:v>16.712395862703325</c:v>
                </c:pt>
                <c:pt idx="34">
                  <c:v>0</c:v>
                </c:pt>
                <c:pt idx="35">
                  <c:v>0</c:v>
                </c:pt>
                <c:pt idx="36">
                  <c:v>0</c:v>
                </c:pt>
                <c:pt idx="37">
                  <c:v>0</c:v>
                </c:pt>
                <c:pt idx="38">
                  <c:v>0</c:v>
                </c:pt>
                <c:pt idx="39">
                  <c:v>0</c:v>
                </c:pt>
              </c:numCache>
            </c:numRef>
          </c:val>
        </c:ser>
        <c:ser>
          <c:idx val="1"/>
          <c:order val="1"/>
          <c:spPr>
            <a:solidFill>
              <a:srgbClr val="C0504D"/>
            </a:solidFill>
            <a:ln w="3175">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プレゼン!$C$14:$C$53</c:f>
              <c:numCache/>
            </c:numRef>
          </c:cat>
          <c:val>
            <c:numRef>
              <c:f>'液状化抑制効果計算'!$AS$15:$AS$54</c:f>
              <c:numCache>
                <c:ptCount val="40"/>
                <c:pt idx="0">
                  <c:v>0</c:v>
                </c:pt>
                <c:pt idx="1">
                  <c:v>0</c:v>
                </c:pt>
                <c:pt idx="2">
                  <c:v>0</c:v>
                </c:pt>
                <c:pt idx="3">
                  <c:v>0</c:v>
                </c:pt>
                <c:pt idx="4">
                  <c:v>0</c:v>
                </c:pt>
                <c:pt idx="5">
                  <c:v>0</c:v>
                </c:pt>
                <c:pt idx="6">
                  <c:v>0</c:v>
                </c:pt>
                <c:pt idx="7">
                  <c:v>0</c:v>
                </c:pt>
                <c:pt idx="8">
                  <c:v>-0.27383813659374656</c:v>
                </c:pt>
                <c:pt idx="9">
                  <c:v>-0.3244398820406569</c:v>
                </c:pt>
                <c:pt idx="10">
                  <c:v>-0.36409549123890383</c:v>
                </c:pt>
                <c:pt idx="11">
                  <c:v>-0.395842843834875</c:v>
                </c:pt>
                <c:pt idx="12">
                  <c:v>-0.3645352976036399</c:v>
                </c:pt>
                <c:pt idx="13">
                  <c:v>-0.3917892690195438</c:v>
                </c:pt>
                <c:pt idx="14">
                  <c:v>-0.41423668075508313</c:v>
                </c:pt>
                <c:pt idx="15">
                  <c:v>-0.43293371833281613</c:v>
                </c:pt>
                <c:pt idx="16">
                  <c:v>-0.44864841464360994</c:v>
                </c:pt>
                <c:pt idx="17">
                  <c:v>-0.4619516488696943</c:v>
                </c:pt>
                <c:pt idx="18">
                  <c:v>-0.5612375221210375</c:v>
                </c:pt>
                <c:pt idx="19">
                  <c:v>-0.5651656025897382</c:v>
                </c:pt>
                <c:pt idx="20">
                  <c:v>-0.5580854110676925</c:v>
                </c:pt>
                <c:pt idx="21">
                  <c:v>-0.560846812748353</c:v>
                </c:pt>
                <c:pt idx="22">
                  <c:v>0</c:v>
                </c:pt>
                <c:pt idx="23">
                  <c:v>0</c:v>
                </c:pt>
                <c:pt idx="24">
                  <c:v>0</c:v>
                </c:pt>
                <c:pt idx="25">
                  <c:v>0</c:v>
                </c:pt>
                <c:pt idx="26">
                  <c:v>-0.04721708534287006</c:v>
                </c:pt>
                <c:pt idx="27">
                  <c:v>-0.0890437967596448</c:v>
                </c:pt>
                <c:pt idx="28">
                  <c:v>0</c:v>
                </c:pt>
                <c:pt idx="29">
                  <c:v>0</c:v>
                </c:pt>
                <c:pt idx="30">
                  <c:v>0</c:v>
                </c:pt>
                <c:pt idx="31">
                  <c:v>0</c:v>
                </c:pt>
                <c:pt idx="32">
                  <c:v>0</c:v>
                </c:pt>
                <c:pt idx="33">
                  <c:v>0</c:v>
                </c:pt>
                <c:pt idx="34">
                  <c:v>0</c:v>
                </c:pt>
                <c:pt idx="35">
                  <c:v>0</c:v>
                </c:pt>
                <c:pt idx="36">
                  <c:v>0</c:v>
                </c:pt>
                <c:pt idx="37">
                  <c:v>0</c:v>
                </c:pt>
                <c:pt idx="38">
                  <c:v>0</c:v>
                </c:pt>
                <c:pt idx="39">
                  <c:v>0</c:v>
                </c:pt>
              </c:numCache>
            </c:numRef>
          </c:val>
        </c:ser>
        <c:overlap val="95"/>
        <c:gapWidth val="0"/>
        <c:axId val="15137061"/>
        <c:axId val="2015822"/>
      </c:barChart>
      <c:lineChart>
        <c:grouping val="standard"/>
        <c:varyColors val="0"/>
        <c:ser>
          <c:idx val="2"/>
          <c:order val="2"/>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'液状化抑制効果計算'!$AW$15:$AW$54</c:f>
              <c:numCache>
                <c:ptCount val="4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numCache>
            </c:numRef>
          </c:val>
          <c:smooth val="0"/>
        </c:ser>
        <c:ser>
          <c:idx val="3"/>
          <c:order val="3"/>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'液状化抑制効果計算'!$AX$15:$AX$54</c:f>
              <c:numCache>
                <c:ptCount val="40"/>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numCache>
            </c:numRef>
          </c:val>
          <c:smooth val="0"/>
        </c:ser>
        <c:axId val="18142399"/>
        <c:axId val="29063864"/>
      </c:lineChart>
      <c:catAx>
        <c:axId val="15137061"/>
        <c:scaling>
          <c:orientation val="maxMin"/>
        </c:scaling>
        <c:axPos val="l"/>
        <c:title>
          <c:tx>
            <c:rich>
              <a:bodyPr vert="horz" rot="-5400000" anchor="ctr"/>
              <a:lstStyle/>
              <a:p>
                <a:pPr algn="ctr">
                  <a:defRPr/>
                </a:pPr>
                <a:r>
                  <a:rPr lang="en-US" cap="none" sz="900" b="0" i="0" u="none" baseline="0">
                    <a:solidFill>
                      <a:srgbClr val="000000"/>
                    </a:solidFill>
                  </a:rPr>
                  <a:t>深度</a:t>
                </a:r>
                <a:r>
                  <a:rPr lang="en-US" cap="none" sz="900" b="0" i="0" u="none" baseline="0">
                    <a:solidFill>
                      <a:srgbClr val="000000"/>
                    </a:solidFill>
                    <a:latin typeface="Calibri"/>
                    <a:ea typeface="Calibri"/>
                    <a:cs typeface="Calibri"/>
                  </a:rPr>
                  <a:t>(m)</a:t>
                </a:r>
              </a:p>
            </c:rich>
          </c:tx>
          <c:layout>
            <c:manualLayout>
              <c:xMode val="factor"/>
              <c:yMode val="factor"/>
              <c:x val="0.009"/>
              <c:y val="-0.006"/>
            </c:manualLayout>
          </c:layout>
          <c:overlay val="0"/>
          <c:spPr>
            <a:noFill/>
            <a:ln w="3175">
              <a:noFill/>
            </a:ln>
          </c:spPr>
        </c:title>
        <c:delete val="0"/>
        <c:numFmt formatCode="General" sourceLinked="1"/>
        <c:majorTickMark val="in"/>
        <c:minorTickMark val="none"/>
        <c:tickLblPos val="low"/>
        <c:spPr>
          <a:ln w="3175">
            <a:solidFill>
              <a:srgbClr val="808080"/>
            </a:solidFill>
          </a:ln>
        </c:spPr>
        <c:txPr>
          <a:bodyPr vert="horz" rot="0"/>
          <a:lstStyle/>
          <a:p>
            <a:pPr>
              <a:defRPr lang="en-US" cap="none" sz="800" b="0" i="0" u="none" baseline="0">
                <a:solidFill>
                  <a:srgbClr val="000000"/>
                </a:solidFill>
              </a:defRPr>
            </a:pPr>
          </a:p>
        </c:txPr>
        <c:crossAx val="2015822"/>
        <c:crosses val="autoZero"/>
        <c:auto val="1"/>
        <c:lblOffset val="100"/>
        <c:tickLblSkip val="1"/>
        <c:noMultiLvlLbl val="0"/>
      </c:catAx>
      <c:valAx>
        <c:axId val="2015822"/>
        <c:scaling>
          <c:orientation val="minMax"/>
          <c:max val="1"/>
          <c:min val="-1"/>
        </c:scaling>
        <c:axPos val="t"/>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15137061"/>
        <c:crossesAt val="1"/>
        <c:crossBetween val="between"/>
        <c:dispUnits/>
        <c:majorUnit val="1"/>
      </c:valAx>
      <c:catAx>
        <c:axId val="18142399"/>
        <c:scaling>
          <c:orientation val="minMax"/>
        </c:scaling>
        <c:axPos val="t"/>
        <c:delete val="0"/>
        <c:numFmt formatCode="General" sourceLinked="1"/>
        <c:majorTickMark val="none"/>
        <c:minorTickMark val="none"/>
        <c:tickLblPos val="none"/>
        <c:spPr>
          <a:ln w="3175">
            <a:solidFill>
              <a:srgbClr val="808080"/>
            </a:solidFill>
          </a:ln>
        </c:spPr>
        <c:crossAx val="29063864"/>
        <c:crosses val="max"/>
        <c:auto val="1"/>
        <c:lblOffset val="100"/>
        <c:tickLblSkip val="1"/>
        <c:noMultiLvlLbl val="0"/>
      </c:catAx>
      <c:valAx>
        <c:axId val="29063864"/>
        <c:scaling>
          <c:orientation val="maxMin"/>
          <c:max val="20"/>
          <c:min val="0"/>
        </c:scaling>
        <c:axPos val="l"/>
        <c:delete val="0"/>
        <c:numFmt formatCode="General" sourceLinked="1"/>
        <c:majorTickMark val="none"/>
        <c:minorTickMark val="none"/>
        <c:tickLblPos val="none"/>
        <c:spPr>
          <a:ln w="3175">
            <a:solidFill>
              <a:srgbClr val="808080"/>
            </a:solidFill>
          </a:ln>
        </c:spPr>
        <c:crossAx val="18142399"/>
        <c:crosses val="max"/>
        <c:crossBetween val="between"/>
        <c:dispUnits/>
      </c:valAx>
      <c:spPr>
        <a:solidFill>
          <a:srgbClr val="E7E7E7"/>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プレゼン!$O$10</c:f>
        </c:strRef>
      </c:tx>
      <c:layout>
        <c:manualLayout>
          <c:xMode val="factor"/>
          <c:yMode val="factor"/>
          <c:x val="-0.01025"/>
          <c:y val="0.01025"/>
        </c:manualLayout>
      </c:layout>
      <c:spPr>
        <a:noFill/>
        <a:ln w="3175">
          <a:noFill/>
        </a:ln>
      </c:spPr>
      <c:txPr>
        <a:bodyPr vert="horz" rot="0"/>
        <a:lstStyle/>
        <a:p>
          <a:pPr>
            <a:defRPr lang="en-US" cap="none" sz="900" b="0" i="0" u="none" baseline="0">
              <a:solidFill>
                <a:srgbClr val="000000"/>
              </a:solidFill>
            </a:defRPr>
          </a:pPr>
        </a:p>
      </c:txPr>
    </c:title>
    <c:plotArea>
      <c:layout>
        <c:manualLayout>
          <c:xMode val="edge"/>
          <c:yMode val="edge"/>
          <c:x val="0.10525"/>
          <c:y val="0.083"/>
          <c:w val="0.8605"/>
          <c:h val="0.9025"/>
        </c:manualLayout>
      </c:layout>
      <c:barChart>
        <c:barDir val="bar"/>
        <c:grouping val="clustered"/>
        <c:varyColors val="0"/>
        <c:ser>
          <c:idx val="0"/>
          <c:order val="0"/>
          <c:spPr>
            <a:solidFill>
              <a:srgbClr val="4F81BD"/>
            </a:solidFill>
            <a:ln w="3175">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numRef>
              <c:f>プレゼン!$C$14:$C$53</c:f>
              <c:numCache/>
            </c:numRef>
          </c:cat>
          <c:val>
            <c:numRef>
              <c:f>'液状化抑制効果計算'!$AU$15:$AU$54</c:f>
              <c:numCache>
                <c:ptCount val="40"/>
                <c:pt idx="0">
                  <c:v>0</c:v>
                </c:pt>
                <c:pt idx="1">
                  <c:v>0</c:v>
                </c:pt>
                <c:pt idx="2">
                  <c:v>0</c:v>
                </c:pt>
                <c:pt idx="3">
                  <c:v>0</c:v>
                </c:pt>
                <c:pt idx="4">
                  <c:v>0</c:v>
                </c:pt>
                <c:pt idx="5">
                  <c:v>0</c:v>
                </c:pt>
                <c:pt idx="6">
                  <c:v>1.063415410671193</c:v>
                </c:pt>
                <c:pt idx="7">
                  <c:v>0.8787442307308937</c:v>
                </c:pt>
                <c:pt idx="8">
                  <c:v>0.2906392494134584</c:v>
                </c:pt>
                <c:pt idx="9">
                  <c:v>0.20070255340430165</c:v>
                </c:pt>
                <c:pt idx="10">
                  <c:v>0.13022090424335464</c:v>
                </c:pt>
                <c:pt idx="11">
                  <c:v>0.07379494552785903</c:v>
                </c:pt>
                <c:pt idx="12">
                  <c:v>0.1294392171497809</c:v>
                </c:pt>
                <c:pt idx="13">
                  <c:v>0.08099954139104537</c:v>
                </c:pt>
                <c:pt idx="14">
                  <c:v>0.04110277443920807</c:v>
                </c:pt>
                <c:pt idx="15">
                  <c:v>0.007871711556909133</c:v>
                </c:pt>
                <c:pt idx="16">
                  <c:v>0</c:v>
                </c:pt>
                <c:pt idx="17">
                  <c:v>0</c:v>
                </c:pt>
                <c:pt idx="18">
                  <c:v>0</c:v>
                </c:pt>
                <c:pt idx="19">
                  <c:v>0</c:v>
                </c:pt>
                <c:pt idx="20">
                  <c:v>0</c:v>
                </c:pt>
                <c:pt idx="21">
                  <c:v>0</c:v>
                </c:pt>
                <c:pt idx="22">
                  <c:v>1.1328590366522242</c:v>
                </c:pt>
                <c:pt idx="23">
                  <c:v>0.9958722659113703</c:v>
                </c:pt>
                <c:pt idx="24">
                  <c:v>0.8792492694612173</c:v>
                </c:pt>
                <c:pt idx="25">
                  <c:v>0.7793845987181305</c:v>
                </c:pt>
                <c:pt idx="26">
                  <c:v>0.6934227584726338</c:v>
                </c:pt>
                <c:pt idx="27">
                  <c:v>0.6190823143529758</c:v>
                </c:pt>
                <c:pt idx="28">
                  <c:v>49.5256043899393</c:v>
                </c:pt>
                <c:pt idx="29">
                  <c:v>44.61301335047178</c:v>
                </c:pt>
                <c:pt idx="30">
                  <c:v>40.34529981146626</c:v>
                </c:pt>
                <c:pt idx="31">
                  <c:v>36.62046118257368</c:v>
                </c:pt>
                <c:pt idx="32">
                  <c:v>33.355190907166104</c:v>
                </c:pt>
                <c:pt idx="33">
                  <c:v>30.481016084101608</c:v>
                </c:pt>
                <c:pt idx="34">
                  <c:v>0</c:v>
                </c:pt>
                <c:pt idx="35">
                  <c:v>0</c:v>
                </c:pt>
                <c:pt idx="36">
                  <c:v>0</c:v>
                </c:pt>
                <c:pt idx="37">
                  <c:v>0</c:v>
                </c:pt>
                <c:pt idx="38">
                  <c:v>0</c:v>
                </c:pt>
                <c:pt idx="39">
                  <c:v>0</c:v>
                </c:pt>
              </c:numCache>
            </c:numRef>
          </c:val>
        </c:ser>
        <c:ser>
          <c:idx val="1"/>
          <c:order val="1"/>
          <c:spPr>
            <a:solidFill>
              <a:srgbClr val="C0504D"/>
            </a:solidFill>
            <a:ln w="3175">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プレゼン!$C$14:$C$53</c:f>
              <c:numCache/>
            </c:numRef>
          </c:cat>
          <c:val>
            <c:numRef>
              <c:f>'液状化抑制効果計算'!$AV$15:$AV$54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-0.020058705714228187</c:v>
                </c:pt>
                <c:pt idx="17">
                  <c:v>-0.043703125920745656</c:v>
                </c:pt>
                <c:pt idx="18">
                  <c:v>-0.22016825220731262</c:v>
                </c:pt>
                <c:pt idx="19">
                  <c:v>-0.22714980147785502</c:v>
                </c:pt>
                <c:pt idx="20">
                  <c:v>-0.21456586732734384</c:v>
                </c:pt>
                <c:pt idx="21">
                  <c:v>-0.21947382734570542</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er>
        <c:overlap val="95"/>
        <c:gapWidth val="0"/>
        <c:axId val="60248185"/>
        <c:axId val="5362754"/>
      </c:barChart>
      <c:lineChart>
        <c:grouping val="standard"/>
        <c:varyColors val="0"/>
        <c:ser>
          <c:idx val="2"/>
          <c:order val="2"/>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'液状化抑制効果計算'!$AW$15:$AW$54</c:f>
              <c:numCache>
                <c:ptCount val="4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numCache>
            </c:numRef>
          </c:val>
          <c:smooth val="0"/>
        </c:ser>
        <c:ser>
          <c:idx val="3"/>
          <c:order val="3"/>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'液状化抑制効果計算'!$AX$15:$AX$54</c:f>
              <c:numCache>
                <c:ptCount val="40"/>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numCache>
            </c:numRef>
          </c:val>
          <c:smooth val="0"/>
        </c:ser>
        <c:axId val="48264787"/>
        <c:axId val="31729900"/>
      </c:lineChart>
      <c:catAx>
        <c:axId val="60248185"/>
        <c:scaling>
          <c:orientation val="maxMin"/>
        </c:scaling>
        <c:axPos val="l"/>
        <c:title>
          <c:tx>
            <c:rich>
              <a:bodyPr vert="horz" rot="-5400000" anchor="ctr"/>
              <a:lstStyle/>
              <a:p>
                <a:pPr algn="ctr">
                  <a:defRPr/>
                </a:pPr>
                <a:r>
                  <a:rPr lang="en-US" cap="none" sz="900" b="0" i="0" u="none" baseline="0">
                    <a:solidFill>
                      <a:srgbClr val="000000"/>
                    </a:solidFill>
                  </a:rPr>
                  <a:t>深度</a:t>
                </a:r>
                <a:r>
                  <a:rPr lang="en-US" cap="none" sz="900" b="0" i="0" u="none" baseline="0">
                    <a:solidFill>
                      <a:srgbClr val="000000"/>
                    </a:solidFill>
                    <a:latin typeface="Calibri"/>
                    <a:ea typeface="Calibri"/>
                    <a:cs typeface="Calibri"/>
                  </a:rPr>
                  <a:t>(m)</a:t>
                </a:r>
              </a:p>
            </c:rich>
          </c:tx>
          <c:layout>
            <c:manualLayout>
              <c:xMode val="factor"/>
              <c:yMode val="factor"/>
              <c:x val="0.009"/>
              <c:y val="-0.006"/>
            </c:manualLayout>
          </c:layout>
          <c:overlay val="0"/>
          <c:spPr>
            <a:noFill/>
            <a:ln w="3175">
              <a:noFill/>
            </a:ln>
          </c:spPr>
        </c:title>
        <c:delete val="0"/>
        <c:numFmt formatCode="General" sourceLinked="1"/>
        <c:majorTickMark val="in"/>
        <c:minorTickMark val="none"/>
        <c:tickLblPos val="low"/>
        <c:spPr>
          <a:ln w="3175">
            <a:solidFill>
              <a:srgbClr val="808080"/>
            </a:solidFill>
          </a:ln>
        </c:spPr>
        <c:txPr>
          <a:bodyPr vert="horz" rot="0"/>
          <a:lstStyle/>
          <a:p>
            <a:pPr>
              <a:defRPr lang="en-US" cap="none" sz="800" b="0" i="0" u="none" baseline="0">
                <a:solidFill>
                  <a:srgbClr val="000000"/>
                </a:solidFill>
              </a:defRPr>
            </a:pPr>
          </a:p>
        </c:txPr>
        <c:crossAx val="5362754"/>
        <c:crosses val="autoZero"/>
        <c:auto val="1"/>
        <c:lblOffset val="100"/>
        <c:tickLblSkip val="1"/>
        <c:noMultiLvlLbl val="0"/>
      </c:catAx>
      <c:valAx>
        <c:axId val="5362754"/>
        <c:scaling>
          <c:orientation val="minMax"/>
          <c:max val="1"/>
          <c:min val="-1"/>
        </c:scaling>
        <c:axPos val="t"/>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60248185"/>
        <c:crossesAt val="1"/>
        <c:crossBetween val="between"/>
        <c:dispUnits/>
        <c:majorUnit val="1"/>
      </c:valAx>
      <c:catAx>
        <c:axId val="48264787"/>
        <c:scaling>
          <c:orientation val="minMax"/>
        </c:scaling>
        <c:axPos val="t"/>
        <c:delete val="0"/>
        <c:numFmt formatCode="General" sourceLinked="1"/>
        <c:majorTickMark val="none"/>
        <c:minorTickMark val="none"/>
        <c:tickLblPos val="none"/>
        <c:spPr>
          <a:ln w="3175">
            <a:solidFill>
              <a:srgbClr val="808080"/>
            </a:solidFill>
          </a:ln>
        </c:spPr>
        <c:crossAx val="31729900"/>
        <c:crosses val="max"/>
        <c:auto val="1"/>
        <c:lblOffset val="100"/>
        <c:tickLblSkip val="1"/>
        <c:noMultiLvlLbl val="0"/>
      </c:catAx>
      <c:valAx>
        <c:axId val="31729900"/>
        <c:scaling>
          <c:orientation val="maxMin"/>
          <c:max val="20"/>
          <c:min val="0"/>
        </c:scaling>
        <c:axPos val="l"/>
        <c:delete val="0"/>
        <c:numFmt formatCode="General" sourceLinked="1"/>
        <c:majorTickMark val="none"/>
        <c:minorTickMark val="none"/>
        <c:tickLblPos val="none"/>
        <c:spPr>
          <a:ln w="3175">
            <a:solidFill>
              <a:srgbClr val="808080"/>
            </a:solidFill>
          </a:ln>
        </c:spPr>
        <c:crossAx val="48264787"/>
        <c:crosses val="max"/>
        <c:crossBetween val="between"/>
        <c:dispUnits/>
      </c:valAx>
      <c:spPr>
        <a:solidFill>
          <a:srgbClr val="E7E7E7"/>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7.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0</xdr:colOff>
      <xdr:row>13</xdr:row>
      <xdr:rowOff>76200</xdr:rowOff>
    </xdr:from>
    <xdr:ext cx="38100" cy="266700"/>
    <xdr:sp fLocksText="0">
      <xdr:nvSpPr>
        <xdr:cNvPr id="1" name="テキスト ボックス 1"/>
        <xdr:cNvSpPr txBox="1">
          <a:spLocks noChangeArrowheads="1"/>
        </xdr:cNvSpPr>
      </xdr:nvSpPr>
      <xdr:spPr>
        <a:xfrm>
          <a:off x="9210675" y="233362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13</xdr:row>
      <xdr:rowOff>76200</xdr:rowOff>
    </xdr:from>
    <xdr:ext cx="38100" cy="266700"/>
    <xdr:sp fLocksText="0">
      <xdr:nvSpPr>
        <xdr:cNvPr id="2" name="テキスト ボックス 3"/>
        <xdr:cNvSpPr txBox="1">
          <a:spLocks noChangeArrowheads="1"/>
        </xdr:cNvSpPr>
      </xdr:nvSpPr>
      <xdr:spPr>
        <a:xfrm>
          <a:off x="9210675" y="233362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495300</xdr:colOff>
      <xdr:row>5</xdr:row>
      <xdr:rowOff>76200</xdr:rowOff>
    </xdr:from>
    <xdr:ext cx="38100" cy="247650"/>
    <xdr:sp fLocksText="0">
      <xdr:nvSpPr>
        <xdr:cNvPr id="3" name="テキスト ボックス 8"/>
        <xdr:cNvSpPr txBox="1">
          <a:spLocks noChangeArrowheads="1"/>
        </xdr:cNvSpPr>
      </xdr:nvSpPr>
      <xdr:spPr>
        <a:xfrm flipH="1">
          <a:off x="4019550" y="981075"/>
          <a:ext cx="38100"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5</xdr:row>
      <xdr:rowOff>76200</xdr:rowOff>
    </xdr:from>
    <xdr:ext cx="38100" cy="266700"/>
    <xdr:sp fLocksText="0">
      <xdr:nvSpPr>
        <xdr:cNvPr id="4" name="テキスト ボックス 9"/>
        <xdr:cNvSpPr txBox="1">
          <a:spLocks noChangeArrowheads="1"/>
        </xdr:cNvSpPr>
      </xdr:nvSpPr>
      <xdr:spPr>
        <a:xfrm>
          <a:off x="4600575"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4</xdr:row>
      <xdr:rowOff>76200</xdr:rowOff>
    </xdr:from>
    <xdr:ext cx="38100" cy="266700"/>
    <xdr:sp fLocksText="0">
      <xdr:nvSpPr>
        <xdr:cNvPr id="1" name="テキスト ボックス 1"/>
        <xdr:cNvSpPr txBox="1">
          <a:spLocks noChangeArrowheads="1"/>
        </xdr:cNvSpPr>
      </xdr:nvSpPr>
      <xdr:spPr>
        <a:xfrm>
          <a:off x="4143375" y="800100"/>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58</xdr:row>
      <xdr:rowOff>95250</xdr:rowOff>
    </xdr:from>
    <xdr:ext cx="38100" cy="276225"/>
    <xdr:sp fLocksText="0">
      <xdr:nvSpPr>
        <xdr:cNvPr id="2" name="テキスト ボックス 1"/>
        <xdr:cNvSpPr txBox="1">
          <a:spLocks noChangeArrowheads="1"/>
        </xdr:cNvSpPr>
      </xdr:nvSpPr>
      <xdr:spPr>
        <a:xfrm>
          <a:off x="2143125" y="10048875"/>
          <a:ext cx="381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76200</xdr:rowOff>
    </xdr:from>
    <xdr:ext cx="38100" cy="266700"/>
    <xdr:sp fLocksText="0">
      <xdr:nvSpPr>
        <xdr:cNvPr id="3" name="テキスト ボックス 1"/>
        <xdr:cNvSpPr txBox="1">
          <a:spLocks noChangeArrowheads="1"/>
        </xdr:cNvSpPr>
      </xdr:nvSpPr>
      <xdr:spPr>
        <a:xfrm>
          <a:off x="4143375" y="800100"/>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32</xdr:col>
      <xdr:colOff>0</xdr:colOff>
      <xdr:row>5</xdr:row>
      <xdr:rowOff>76200</xdr:rowOff>
    </xdr:from>
    <xdr:ext cx="38100" cy="266700"/>
    <xdr:sp fLocksText="0">
      <xdr:nvSpPr>
        <xdr:cNvPr id="4" name="テキスト ボックス 4"/>
        <xdr:cNvSpPr txBox="1">
          <a:spLocks noChangeArrowheads="1"/>
        </xdr:cNvSpPr>
      </xdr:nvSpPr>
      <xdr:spPr>
        <a:xfrm>
          <a:off x="16535400"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58</xdr:row>
      <xdr:rowOff>95250</xdr:rowOff>
    </xdr:from>
    <xdr:ext cx="38100" cy="276225"/>
    <xdr:sp fLocksText="0">
      <xdr:nvSpPr>
        <xdr:cNvPr id="5" name="テキスト ボックス 1"/>
        <xdr:cNvSpPr txBox="1">
          <a:spLocks noChangeArrowheads="1"/>
        </xdr:cNvSpPr>
      </xdr:nvSpPr>
      <xdr:spPr>
        <a:xfrm>
          <a:off x="2143125" y="10048875"/>
          <a:ext cx="381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32</xdr:col>
      <xdr:colOff>0</xdr:colOff>
      <xdr:row>5</xdr:row>
      <xdr:rowOff>76200</xdr:rowOff>
    </xdr:from>
    <xdr:ext cx="38100" cy="266700"/>
    <xdr:sp fLocksText="0">
      <xdr:nvSpPr>
        <xdr:cNvPr id="6" name="テキスト ボックス 1"/>
        <xdr:cNvSpPr txBox="1">
          <a:spLocks noChangeArrowheads="1"/>
        </xdr:cNvSpPr>
      </xdr:nvSpPr>
      <xdr:spPr>
        <a:xfrm>
          <a:off x="16535400"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6</xdr:row>
      <xdr:rowOff>76200</xdr:rowOff>
    </xdr:from>
    <xdr:ext cx="38100" cy="266700"/>
    <xdr:sp fLocksText="0">
      <xdr:nvSpPr>
        <xdr:cNvPr id="1" name="テキスト ボックス 1"/>
        <xdr:cNvSpPr txBox="1">
          <a:spLocks noChangeArrowheads="1"/>
        </xdr:cNvSpPr>
      </xdr:nvSpPr>
      <xdr:spPr>
        <a:xfrm>
          <a:off x="5648325" y="1238250"/>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17</xdr:col>
      <xdr:colOff>133350</xdr:colOff>
      <xdr:row>8</xdr:row>
      <xdr:rowOff>142875</xdr:rowOff>
    </xdr:from>
    <xdr:to>
      <xdr:col>20</xdr:col>
      <xdr:colOff>133350</xdr:colOff>
      <xdr:row>53</xdr:row>
      <xdr:rowOff>19050</xdr:rowOff>
    </xdr:to>
    <xdr:grpSp>
      <xdr:nvGrpSpPr>
        <xdr:cNvPr id="2" name="Group 516"/>
        <xdr:cNvGrpSpPr>
          <a:grpSpLocks/>
        </xdr:cNvGrpSpPr>
      </xdr:nvGrpSpPr>
      <xdr:grpSpPr>
        <a:xfrm>
          <a:off x="7572375" y="1666875"/>
          <a:ext cx="1695450" cy="7543800"/>
          <a:chOff x="691" y="176"/>
          <a:chExt cx="190" cy="797"/>
        </a:xfrm>
        <a:solidFill>
          <a:srgbClr val="FFFFFF"/>
        </a:solidFill>
      </xdr:grpSpPr>
      <xdr:graphicFrame>
        <xdr:nvGraphicFramePr>
          <xdr:cNvPr id="3" name="グラフ 3"/>
          <xdr:cNvGraphicFramePr/>
        </xdr:nvGraphicFramePr>
        <xdr:xfrm>
          <a:off x="691" y="176"/>
          <a:ext cx="190" cy="797"/>
        </xdr:xfrm>
        <a:graphic>
          <a:graphicData uri="http://schemas.openxmlformats.org/drawingml/2006/chart">
            <c:chart xmlns:c="http://schemas.openxmlformats.org/drawingml/2006/chart" r:id="rId1"/>
          </a:graphicData>
        </a:graphic>
      </xdr:graphicFrame>
      <xdr:sp>
        <xdr:nvSpPr>
          <xdr:cNvPr id="4" name="Text Box 4"/>
          <xdr:cNvSpPr txBox="1">
            <a:spLocks noChangeArrowheads="1"/>
          </xdr:cNvSpPr>
        </xdr:nvSpPr>
        <xdr:spPr>
          <a:xfrm>
            <a:off x="732" y="224"/>
            <a:ext cx="146" cy="17"/>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0</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1.0</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2.0</a:t>
            </a:r>
          </a:p>
        </xdr:txBody>
      </xdr:sp>
      <xdr:sp>
        <xdr:nvSpPr>
          <xdr:cNvPr id="5" name="Text Box 6"/>
          <xdr:cNvSpPr txBox="1">
            <a:spLocks noChangeArrowheads="1"/>
          </xdr:cNvSpPr>
        </xdr:nvSpPr>
        <xdr:spPr>
          <a:xfrm>
            <a:off x="762" y="185"/>
            <a:ext cx="76" cy="41"/>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Ｆｌ値分布</a:t>
            </a:r>
          </a:p>
        </xdr:txBody>
      </xdr:sp>
    </xdr:grpSp>
    <xdr:clientData/>
  </xdr:twoCellAnchor>
  <xdr:twoCellAnchor>
    <xdr:from>
      <xdr:col>24</xdr:col>
      <xdr:colOff>19050</xdr:colOff>
      <xdr:row>4</xdr:row>
      <xdr:rowOff>133350</xdr:rowOff>
    </xdr:from>
    <xdr:to>
      <xdr:col>26</xdr:col>
      <xdr:colOff>571500</xdr:colOff>
      <xdr:row>7</xdr:row>
      <xdr:rowOff>114300</xdr:rowOff>
    </xdr:to>
    <xdr:grpSp>
      <xdr:nvGrpSpPr>
        <xdr:cNvPr id="6" name="Group 759"/>
        <xdr:cNvGrpSpPr>
          <a:grpSpLocks/>
        </xdr:cNvGrpSpPr>
      </xdr:nvGrpSpPr>
      <xdr:grpSpPr>
        <a:xfrm>
          <a:off x="11287125" y="876300"/>
          <a:ext cx="1647825" cy="609600"/>
          <a:chOff x="1214" y="122"/>
          <a:chExt cx="199" cy="46"/>
        </a:xfrm>
        <a:solidFill>
          <a:srgbClr val="FFFFFF"/>
        </a:solidFill>
      </xdr:grpSpPr>
      <xdr:sp>
        <xdr:nvSpPr>
          <xdr:cNvPr id="7" name="Rectangle 531"/>
          <xdr:cNvSpPr>
            <a:spLocks/>
          </xdr:cNvSpPr>
        </xdr:nvSpPr>
        <xdr:spPr>
          <a:xfrm>
            <a:off x="1214" y="122"/>
            <a:ext cx="174" cy="37"/>
          </a:xfrm>
          <a:prstGeom prst="rect">
            <a:avLst/>
          </a:prstGeom>
          <a:solidFill>
            <a:srgbClr val="FFFFFF"/>
          </a:solidFill>
          <a:ln w="635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 name="Line 528"/>
          <xdr:cNvSpPr>
            <a:spLocks/>
          </xdr:cNvSpPr>
        </xdr:nvSpPr>
        <xdr:spPr>
          <a:xfrm>
            <a:off x="1228" y="136"/>
            <a:ext cx="37" cy="0"/>
          </a:xfrm>
          <a:prstGeom prst="line">
            <a:avLst/>
          </a:prstGeom>
          <a:noFill/>
          <a:ln w="25400" cmpd="sng">
            <a:solidFill>
              <a:srgbClr val="77933C"/>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 name="Text Box 530"/>
          <xdr:cNvSpPr txBox="1">
            <a:spLocks noChangeArrowheads="1"/>
          </xdr:cNvSpPr>
        </xdr:nvSpPr>
        <xdr:spPr>
          <a:xfrm>
            <a:off x="1269" y="128"/>
            <a:ext cx="144" cy="4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初期地下水位</a:t>
            </a:r>
            <a:r>
              <a:rPr lang="en-US" cap="none" sz="900" b="0" i="0" u="none" baseline="0">
                <a:solidFill>
                  <a:srgbClr val="000000"/>
                </a:solidFill>
                <a:latin typeface="ＭＳ Ｐゴシック"/>
                <a:ea typeface="ＭＳ Ｐゴシック"/>
                <a:cs typeface="ＭＳ Ｐゴシック"/>
              </a:rPr>
              <a:t>(m)
</a:t>
            </a:r>
            <a:r>
              <a:rPr lang="en-US" cap="none" sz="900" b="0" i="0" u="none" baseline="0">
                <a:solidFill>
                  <a:srgbClr val="000000"/>
                </a:solidFill>
                <a:latin typeface="ＭＳ Ｐゴシック"/>
                <a:ea typeface="ＭＳ Ｐゴシック"/>
                <a:cs typeface="ＭＳ Ｐゴシック"/>
              </a:rPr>
              <a:t>低下後地下水位</a:t>
            </a:r>
            <a:r>
              <a:rPr lang="en-US" cap="none" sz="900" b="0" i="0" u="none" baseline="0">
                <a:solidFill>
                  <a:srgbClr val="000000"/>
                </a:solidFill>
                <a:latin typeface="ＭＳ Ｐゴシック"/>
                <a:ea typeface="ＭＳ Ｐゴシック"/>
                <a:cs typeface="ＭＳ Ｐゴシック"/>
              </a:rPr>
              <a:t>(m)</a:t>
            </a:r>
          </a:p>
        </xdr:txBody>
      </xdr:sp>
      <xdr:sp>
        <xdr:nvSpPr>
          <xdr:cNvPr id="10" name="Line 532"/>
          <xdr:cNvSpPr>
            <a:spLocks/>
          </xdr:cNvSpPr>
        </xdr:nvSpPr>
        <xdr:spPr>
          <a:xfrm>
            <a:off x="1228" y="147"/>
            <a:ext cx="37" cy="0"/>
          </a:xfrm>
          <a:prstGeom prst="line">
            <a:avLst/>
          </a:prstGeom>
          <a:noFill/>
          <a:ln w="25400" cmpd="sng">
            <a:solidFill>
              <a:srgbClr val="604A7B"/>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20</xdr:col>
      <xdr:colOff>238125</xdr:colOff>
      <xdr:row>8</xdr:row>
      <xdr:rowOff>142875</xdr:rowOff>
    </xdr:from>
    <xdr:to>
      <xdr:col>23</xdr:col>
      <xdr:colOff>400050</xdr:colOff>
      <xdr:row>53</xdr:row>
      <xdr:rowOff>19050</xdr:rowOff>
    </xdr:to>
    <xdr:grpSp>
      <xdr:nvGrpSpPr>
        <xdr:cNvPr id="11" name="Group 760"/>
        <xdr:cNvGrpSpPr>
          <a:grpSpLocks/>
        </xdr:cNvGrpSpPr>
      </xdr:nvGrpSpPr>
      <xdr:grpSpPr>
        <a:xfrm>
          <a:off x="9372600" y="1666875"/>
          <a:ext cx="1695450" cy="7543800"/>
          <a:chOff x="989" y="176"/>
          <a:chExt cx="191" cy="792"/>
        </a:xfrm>
        <a:solidFill>
          <a:srgbClr val="FFFFFF"/>
        </a:solidFill>
      </xdr:grpSpPr>
      <xdr:graphicFrame>
        <xdr:nvGraphicFramePr>
          <xdr:cNvPr id="12" name="グラフ 3"/>
          <xdr:cNvGraphicFramePr/>
        </xdr:nvGraphicFramePr>
        <xdr:xfrm>
          <a:off x="989" y="176"/>
          <a:ext cx="190" cy="792"/>
        </xdr:xfrm>
        <a:graphic>
          <a:graphicData uri="http://schemas.openxmlformats.org/drawingml/2006/chart">
            <c:chart xmlns:c="http://schemas.openxmlformats.org/drawingml/2006/chart" r:id="rId2"/>
          </a:graphicData>
        </a:graphic>
      </xdr:graphicFrame>
      <xdr:sp>
        <xdr:nvSpPr>
          <xdr:cNvPr id="13" name="Text Box 4"/>
          <xdr:cNvSpPr txBox="1">
            <a:spLocks noChangeArrowheads="1"/>
          </xdr:cNvSpPr>
        </xdr:nvSpPr>
        <xdr:spPr>
          <a:xfrm>
            <a:off x="1030" y="222"/>
            <a:ext cx="150" cy="19"/>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0</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1.0</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2.0</a:t>
            </a:r>
          </a:p>
        </xdr:txBody>
      </xdr:sp>
      <xdr:sp>
        <xdr:nvSpPr>
          <xdr:cNvPr id="14" name="Text Box 6"/>
          <xdr:cNvSpPr txBox="1">
            <a:spLocks noChangeArrowheads="1"/>
          </xdr:cNvSpPr>
        </xdr:nvSpPr>
        <xdr:spPr>
          <a:xfrm>
            <a:off x="1057" y="185"/>
            <a:ext cx="74" cy="41"/>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Ｆｌ値分布</a:t>
            </a:r>
          </a:p>
        </xdr:txBody>
      </xdr:sp>
    </xdr:grpSp>
    <xdr:clientData/>
  </xdr:twoCellAnchor>
  <xdr:twoCellAnchor>
    <xdr:from>
      <xdr:col>23</xdr:col>
      <xdr:colOff>504825</xdr:colOff>
      <xdr:row>8</xdr:row>
      <xdr:rowOff>142875</xdr:rowOff>
    </xdr:from>
    <xdr:to>
      <xdr:col>26</xdr:col>
      <xdr:colOff>495300</xdr:colOff>
      <xdr:row>53</xdr:row>
      <xdr:rowOff>19050</xdr:rowOff>
    </xdr:to>
    <xdr:grpSp>
      <xdr:nvGrpSpPr>
        <xdr:cNvPr id="15" name="Group 761"/>
        <xdr:cNvGrpSpPr>
          <a:grpSpLocks/>
        </xdr:cNvGrpSpPr>
      </xdr:nvGrpSpPr>
      <xdr:grpSpPr>
        <a:xfrm>
          <a:off x="11172825" y="1666875"/>
          <a:ext cx="1685925" cy="7543800"/>
          <a:chOff x="1202" y="176"/>
          <a:chExt cx="190" cy="792"/>
        </a:xfrm>
        <a:solidFill>
          <a:srgbClr val="FFFFFF"/>
        </a:solidFill>
      </xdr:grpSpPr>
      <xdr:graphicFrame>
        <xdr:nvGraphicFramePr>
          <xdr:cNvPr id="16" name="グラフ 3"/>
          <xdr:cNvGraphicFramePr/>
        </xdr:nvGraphicFramePr>
        <xdr:xfrm>
          <a:off x="1202" y="176"/>
          <a:ext cx="190" cy="792"/>
        </xdr:xfrm>
        <a:graphic>
          <a:graphicData uri="http://schemas.openxmlformats.org/drawingml/2006/chart">
            <c:chart xmlns:c="http://schemas.openxmlformats.org/drawingml/2006/chart" r:id="rId3"/>
          </a:graphicData>
        </a:graphic>
      </xdr:graphicFrame>
      <xdr:sp>
        <xdr:nvSpPr>
          <xdr:cNvPr id="17" name="Text Box 4"/>
          <xdr:cNvSpPr txBox="1">
            <a:spLocks noChangeArrowheads="1"/>
          </xdr:cNvSpPr>
        </xdr:nvSpPr>
        <xdr:spPr>
          <a:xfrm>
            <a:off x="1243" y="223"/>
            <a:ext cx="146" cy="18"/>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0</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1.0</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2.0</a:t>
            </a:r>
          </a:p>
        </xdr:txBody>
      </xdr:sp>
      <xdr:sp>
        <xdr:nvSpPr>
          <xdr:cNvPr id="18" name="Text Box 6"/>
          <xdr:cNvSpPr txBox="1">
            <a:spLocks noChangeArrowheads="1"/>
          </xdr:cNvSpPr>
        </xdr:nvSpPr>
        <xdr:spPr>
          <a:xfrm>
            <a:off x="1271" y="185"/>
            <a:ext cx="76" cy="41"/>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Ｆｌ値分布</a:t>
            </a:r>
          </a:p>
        </xdr:txBody>
      </xdr:sp>
    </xdr:grpSp>
    <xdr:clientData/>
  </xdr:twoCellAnchor>
  <xdr:oneCellAnchor>
    <xdr:from>
      <xdr:col>13</xdr:col>
      <xdr:colOff>0</xdr:colOff>
      <xdr:row>6</xdr:row>
      <xdr:rowOff>76200</xdr:rowOff>
    </xdr:from>
    <xdr:ext cx="38100" cy="266700"/>
    <xdr:sp fLocksText="0">
      <xdr:nvSpPr>
        <xdr:cNvPr id="19" name="テキスト ボックス 19"/>
        <xdr:cNvSpPr txBox="1">
          <a:spLocks noChangeArrowheads="1"/>
        </xdr:cNvSpPr>
      </xdr:nvSpPr>
      <xdr:spPr>
        <a:xfrm>
          <a:off x="5648325" y="1238250"/>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6</xdr:row>
      <xdr:rowOff>76200</xdr:rowOff>
    </xdr:from>
    <xdr:ext cx="38100" cy="266700"/>
    <xdr:sp fLocksText="0">
      <xdr:nvSpPr>
        <xdr:cNvPr id="20" name="テキスト ボックス 24"/>
        <xdr:cNvSpPr txBox="1">
          <a:spLocks noChangeArrowheads="1"/>
        </xdr:cNvSpPr>
      </xdr:nvSpPr>
      <xdr:spPr>
        <a:xfrm>
          <a:off x="3409950" y="1238250"/>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6</xdr:row>
      <xdr:rowOff>76200</xdr:rowOff>
    </xdr:from>
    <xdr:ext cx="38100" cy="266700"/>
    <xdr:sp fLocksText="0">
      <xdr:nvSpPr>
        <xdr:cNvPr id="21" name="テキスト ボックス 25"/>
        <xdr:cNvSpPr txBox="1">
          <a:spLocks noChangeArrowheads="1"/>
        </xdr:cNvSpPr>
      </xdr:nvSpPr>
      <xdr:spPr>
        <a:xfrm>
          <a:off x="3409950" y="1238250"/>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25</xdr:col>
      <xdr:colOff>0</xdr:colOff>
      <xdr:row>5</xdr:row>
      <xdr:rowOff>76200</xdr:rowOff>
    </xdr:from>
    <xdr:ext cx="38100" cy="266700"/>
    <xdr:sp fLocksText="0">
      <xdr:nvSpPr>
        <xdr:cNvPr id="1" name="テキスト ボックス 11"/>
        <xdr:cNvSpPr txBox="1">
          <a:spLocks noChangeArrowheads="1"/>
        </xdr:cNvSpPr>
      </xdr:nvSpPr>
      <xdr:spPr>
        <a:xfrm>
          <a:off x="11058525"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19</xdr:col>
      <xdr:colOff>0</xdr:colOff>
      <xdr:row>5</xdr:row>
      <xdr:rowOff>76200</xdr:rowOff>
    </xdr:from>
    <xdr:ext cx="38100" cy="266700"/>
    <xdr:sp fLocksText="0">
      <xdr:nvSpPr>
        <xdr:cNvPr id="2" name="テキスト ボックス 2"/>
        <xdr:cNvSpPr txBox="1">
          <a:spLocks noChangeArrowheads="1"/>
        </xdr:cNvSpPr>
      </xdr:nvSpPr>
      <xdr:spPr>
        <a:xfrm>
          <a:off x="8486775"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13</xdr:row>
      <xdr:rowOff>76200</xdr:rowOff>
    </xdr:from>
    <xdr:ext cx="38100" cy="266700"/>
    <xdr:sp fLocksText="0">
      <xdr:nvSpPr>
        <xdr:cNvPr id="1" name="テキスト ボックス 1"/>
        <xdr:cNvSpPr txBox="1">
          <a:spLocks noChangeArrowheads="1"/>
        </xdr:cNvSpPr>
      </xdr:nvSpPr>
      <xdr:spPr>
        <a:xfrm>
          <a:off x="11925300" y="233362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0</xdr:colOff>
      <xdr:row>13</xdr:row>
      <xdr:rowOff>76200</xdr:rowOff>
    </xdr:from>
    <xdr:ext cx="38100" cy="266700"/>
    <xdr:sp fLocksText="0">
      <xdr:nvSpPr>
        <xdr:cNvPr id="2" name="テキスト ボックス 2"/>
        <xdr:cNvSpPr txBox="1">
          <a:spLocks noChangeArrowheads="1"/>
        </xdr:cNvSpPr>
      </xdr:nvSpPr>
      <xdr:spPr>
        <a:xfrm>
          <a:off x="11925300" y="233362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9525</xdr:colOff>
      <xdr:row>5</xdr:row>
      <xdr:rowOff>76200</xdr:rowOff>
    </xdr:from>
    <xdr:ext cx="38100" cy="266700"/>
    <xdr:sp fLocksText="0">
      <xdr:nvSpPr>
        <xdr:cNvPr id="3" name="テキスト ボックス 3"/>
        <xdr:cNvSpPr txBox="1">
          <a:spLocks noChangeArrowheads="1"/>
        </xdr:cNvSpPr>
      </xdr:nvSpPr>
      <xdr:spPr>
        <a:xfrm>
          <a:off x="7058025"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5</xdr:row>
      <xdr:rowOff>76200</xdr:rowOff>
    </xdr:from>
    <xdr:ext cx="38100" cy="266700"/>
    <xdr:sp fLocksText="0">
      <xdr:nvSpPr>
        <xdr:cNvPr id="4" name="テキスト ボックス 4"/>
        <xdr:cNvSpPr txBox="1">
          <a:spLocks noChangeArrowheads="1"/>
        </xdr:cNvSpPr>
      </xdr:nvSpPr>
      <xdr:spPr>
        <a:xfrm>
          <a:off x="7600950"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17</xdr:col>
      <xdr:colOff>28575</xdr:colOff>
      <xdr:row>5</xdr:row>
      <xdr:rowOff>57150</xdr:rowOff>
    </xdr:from>
    <xdr:to>
      <xdr:col>17</xdr:col>
      <xdr:colOff>123825</xdr:colOff>
      <xdr:row>6</xdr:row>
      <xdr:rowOff>133350</xdr:rowOff>
    </xdr:to>
    <xdr:sp>
      <xdr:nvSpPr>
        <xdr:cNvPr id="5" name="右大かっこ 5"/>
        <xdr:cNvSpPr>
          <a:spLocks/>
        </xdr:cNvSpPr>
      </xdr:nvSpPr>
      <xdr:spPr>
        <a:xfrm>
          <a:off x="8162925" y="962025"/>
          <a:ext cx="95250" cy="266700"/>
        </a:xfrm>
        <a:prstGeom prst="rightBracket">
          <a:avLst>
            <a:gd name="adj" fmla="val -46180"/>
          </a:avLst>
        </a:prstGeom>
        <a:noFill/>
        <a:ln w="190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14</xdr:col>
      <xdr:colOff>9525</xdr:colOff>
      <xdr:row>5</xdr:row>
      <xdr:rowOff>76200</xdr:rowOff>
    </xdr:from>
    <xdr:ext cx="38100" cy="266700"/>
    <xdr:sp fLocksText="0">
      <xdr:nvSpPr>
        <xdr:cNvPr id="6" name="テキスト ボックス 6"/>
        <xdr:cNvSpPr txBox="1">
          <a:spLocks noChangeArrowheads="1"/>
        </xdr:cNvSpPr>
      </xdr:nvSpPr>
      <xdr:spPr>
        <a:xfrm>
          <a:off x="7058025"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5</xdr:row>
      <xdr:rowOff>76200</xdr:rowOff>
    </xdr:from>
    <xdr:ext cx="38100" cy="266700"/>
    <xdr:sp fLocksText="0">
      <xdr:nvSpPr>
        <xdr:cNvPr id="7" name="テキスト ボックス 7"/>
        <xdr:cNvSpPr txBox="1">
          <a:spLocks noChangeArrowheads="1"/>
        </xdr:cNvSpPr>
      </xdr:nvSpPr>
      <xdr:spPr>
        <a:xfrm>
          <a:off x="7600950"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17</xdr:col>
      <xdr:colOff>590550</xdr:colOff>
      <xdr:row>19</xdr:row>
      <xdr:rowOff>47625</xdr:rowOff>
    </xdr:from>
    <xdr:to>
      <xdr:col>21</xdr:col>
      <xdr:colOff>561975</xdr:colOff>
      <xdr:row>29</xdr:row>
      <xdr:rowOff>76200</xdr:rowOff>
    </xdr:to>
    <xdr:sp>
      <xdr:nvSpPr>
        <xdr:cNvPr id="8" name="正方形/長方形 8"/>
        <xdr:cNvSpPr>
          <a:spLocks/>
        </xdr:cNvSpPr>
      </xdr:nvSpPr>
      <xdr:spPr>
        <a:xfrm>
          <a:off x="8724900" y="3314700"/>
          <a:ext cx="2562225" cy="1743075"/>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100" b="0" i="0" u="none" baseline="0">
              <a:solidFill>
                <a:srgbClr val="000000"/>
              </a:solidFill>
            </a:rPr>
            <a:t>○で示された範囲が液状化判定を行う対象層です。液状化判定を行う対象は、地下水位以下で、かつ細粒分含有率が</a:t>
          </a:r>
          <a:r>
            <a:rPr lang="en-US" cap="none" sz="1100" b="0" i="0" u="none" baseline="0">
              <a:solidFill>
                <a:srgbClr val="000000"/>
              </a:solidFill>
              <a:latin typeface="Calibri"/>
              <a:ea typeface="Calibri"/>
              <a:cs typeface="Calibri"/>
            </a:rPr>
            <a:t>50</a:t>
          </a:r>
          <a:r>
            <a:rPr lang="en-US" cap="none" sz="1100" b="0" i="0" u="none" baseline="0">
              <a:solidFill>
                <a:srgbClr val="000000"/>
              </a:solidFill>
            </a:rPr>
            <a:t>％以下である層です。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青色で塗られた層は地下水位以下であることを示しています。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（なお、一般的には細粒分含有率が</a:t>
          </a:r>
          <a:r>
            <a:rPr lang="en-US" cap="none" sz="1100" b="0" i="0" u="none" baseline="0">
              <a:solidFill>
                <a:srgbClr val="000000"/>
              </a:solidFill>
              <a:latin typeface="Calibri"/>
              <a:ea typeface="Calibri"/>
              <a:cs typeface="Calibri"/>
            </a:rPr>
            <a:t>35%</a:t>
          </a:r>
          <a:r>
            <a:rPr lang="en-US" cap="none" sz="1100" b="0" i="0" u="none" baseline="0">
              <a:solidFill>
                <a:srgbClr val="000000"/>
              </a:solidFill>
            </a:rPr>
            <a:t>を超えると液状化は起こりにくいとされています。</a:t>
          </a:r>
        </a:p>
      </xdr:txBody>
    </xdr:sp>
    <xdr:clientData/>
  </xdr:twoCellAnchor>
  <xdr:twoCellAnchor>
    <xdr:from>
      <xdr:col>16</xdr:col>
      <xdr:colOff>371475</xdr:colOff>
      <xdr:row>22</xdr:row>
      <xdr:rowOff>123825</xdr:rowOff>
    </xdr:from>
    <xdr:to>
      <xdr:col>17</xdr:col>
      <xdr:colOff>304800</xdr:colOff>
      <xdr:row>24</xdr:row>
      <xdr:rowOff>76200</xdr:rowOff>
    </xdr:to>
    <xdr:sp>
      <xdr:nvSpPr>
        <xdr:cNvPr id="9" name="直線コネクタ 9"/>
        <xdr:cNvSpPr>
          <a:spLocks/>
        </xdr:cNvSpPr>
      </xdr:nvSpPr>
      <xdr:spPr>
        <a:xfrm flipH="1">
          <a:off x="7972425" y="3905250"/>
          <a:ext cx="466725" cy="295275"/>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304800</xdr:colOff>
      <xdr:row>22</xdr:row>
      <xdr:rowOff>123825</xdr:rowOff>
    </xdr:from>
    <xdr:to>
      <xdr:col>17</xdr:col>
      <xdr:colOff>514350</xdr:colOff>
      <xdr:row>22</xdr:row>
      <xdr:rowOff>123825</xdr:rowOff>
    </xdr:to>
    <xdr:sp>
      <xdr:nvSpPr>
        <xdr:cNvPr id="10" name="直線コネクタ 10"/>
        <xdr:cNvSpPr>
          <a:spLocks/>
        </xdr:cNvSpPr>
      </xdr:nvSpPr>
      <xdr:spPr>
        <a:xfrm flipH="1">
          <a:off x="8439150" y="3905250"/>
          <a:ext cx="209550" cy="0"/>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466725</xdr:colOff>
      <xdr:row>1</xdr:row>
      <xdr:rowOff>142875</xdr:rowOff>
    </xdr:from>
    <xdr:to>
      <xdr:col>4</xdr:col>
      <xdr:colOff>276225</xdr:colOff>
      <xdr:row>17</xdr:row>
      <xdr:rowOff>57150</xdr:rowOff>
    </xdr:to>
    <xdr:sp>
      <xdr:nvSpPr>
        <xdr:cNvPr id="11" name="正方形/長方形 11"/>
        <xdr:cNvSpPr>
          <a:spLocks/>
        </xdr:cNvSpPr>
      </xdr:nvSpPr>
      <xdr:spPr>
        <a:xfrm>
          <a:off x="466725" y="323850"/>
          <a:ext cx="2209800" cy="2657475"/>
        </a:xfrm>
        <a:prstGeom prst="rect">
          <a:avLst/>
        </a:prstGeom>
        <a:solidFill>
          <a:srgbClr val="FFFFFF"/>
        </a:solidFill>
        <a:ln w="28575" cmpd="sng">
          <a:solidFill>
            <a:srgbClr val="953735"/>
          </a:solidFill>
          <a:headEnd type="none"/>
          <a:tailEnd type="none"/>
        </a:ln>
      </xdr:spPr>
      <xdr:txBody>
        <a:bodyPr vertOverflow="clip" wrap="square" anchor="ctr"/>
        <a:p>
          <a:pPr algn="l">
            <a:defRPr/>
          </a:pPr>
          <a:r>
            <a:rPr lang="en-US" cap="none" sz="1100" b="0" i="0" u="none" baseline="0">
              <a:solidFill>
                <a:srgbClr val="000000"/>
              </a:solidFill>
            </a:rPr>
            <a:t>調査地点</a:t>
          </a:r>
          <a:r>
            <a:rPr lang="en-US" cap="none" sz="1100" b="0" i="0" u="none" baseline="0">
              <a:solidFill>
                <a:srgbClr val="000000"/>
              </a:solidFill>
              <a:latin typeface="Calibri"/>
              <a:ea typeface="Calibri"/>
              <a:cs typeface="Calibri"/>
            </a:rPr>
            <a:t>ID</a:t>
          </a:r>
          <a:r>
            <a:rPr lang="en-US" cap="none" sz="1100" b="0" i="0" u="none" baseline="0">
              <a:solidFill>
                <a:srgbClr val="000000"/>
              </a:solidFill>
            </a:rPr>
            <a:t>やメモなどを入力します。他のシートにも自動的に連動します。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初期地下水位と、低下させる地下水位を地表面からの深さで入力します。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地下水位低下を行わない場合には、初期地下水位と同じ値を、低下後地下水位として入力します。</a:t>
          </a:r>
          <a:r>
            <a:rPr lang="en-US" cap="none" sz="1100" b="0" i="0" u="none" baseline="0">
              <a:solidFill>
                <a:srgbClr val="000000"/>
              </a:solidFill>
              <a:latin typeface="Calibri"/>
              <a:ea typeface="Calibri"/>
              <a:cs typeface="Calibri"/>
            </a:rPr>
            <a:t>
</a:t>
          </a:r>
          <a:r>
            <a:rPr lang="en-US" cap="none" sz="1100" b="0" i="0" u="none" baseline="0">
              <a:solidFill>
                <a:srgbClr val="800000"/>
              </a:solidFill>
            </a:rPr>
            <a:t>地下水位の低下量を変化させ、液状化抑制効果と圧密沈下の影響の双方を検討することができます。</a:t>
          </a:r>
        </a:p>
      </xdr:txBody>
    </xdr:sp>
    <xdr:clientData/>
  </xdr:twoCellAnchor>
  <xdr:twoCellAnchor>
    <xdr:from>
      <xdr:col>4</xdr:col>
      <xdr:colOff>381000</xdr:colOff>
      <xdr:row>6</xdr:row>
      <xdr:rowOff>85725</xdr:rowOff>
    </xdr:from>
    <xdr:to>
      <xdr:col>5</xdr:col>
      <xdr:colOff>152400</xdr:colOff>
      <xdr:row>7</xdr:row>
      <xdr:rowOff>123825</xdr:rowOff>
    </xdr:to>
    <xdr:sp>
      <xdr:nvSpPr>
        <xdr:cNvPr id="12" name="直線コネクタ 12"/>
        <xdr:cNvSpPr>
          <a:spLocks/>
        </xdr:cNvSpPr>
      </xdr:nvSpPr>
      <xdr:spPr>
        <a:xfrm flipH="1" flipV="1">
          <a:off x="2781300" y="1181100"/>
          <a:ext cx="371475" cy="228600"/>
        </a:xfrm>
        <a:prstGeom prst="line">
          <a:avLst/>
        </a:prstGeom>
        <a:noFill/>
        <a:ln w="28575" cmpd="sng">
          <a:solidFill>
            <a:srgbClr val="95373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485775</xdr:colOff>
      <xdr:row>37</xdr:row>
      <xdr:rowOff>47625</xdr:rowOff>
    </xdr:from>
    <xdr:to>
      <xdr:col>4</xdr:col>
      <xdr:colOff>266700</xdr:colOff>
      <xdr:row>44</xdr:row>
      <xdr:rowOff>19050</xdr:rowOff>
    </xdr:to>
    <xdr:sp>
      <xdr:nvSpPr>
        <xdr:cNvPr id="13" name="正方形/長方形 13"/>
        <xdr:cNvSpPr>
          <a:spLocks/>
        </xdr:cNvSpPr>
      </xdr:nvSpPr>
      <xdr:spPr>
        <a:xfrm>
          <a:off x="485775" y="6400800"/>
          <a:ext cx="2181225" cy="1171575"/>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100" b="0" i="0" u="none" baseline="0">
              <a:solidFill>
                <a:srgbClr val="000000"/>
              </a:solidFill>
            </a:rPr>
            <a:t>礫質土に関しては、砂礫</a:t>
          </a:r>
          <a:r>
            <a:rPr lang="en-US" cap="none" sz="1100" b="0" i="0" u="none" baseline="0">
              <a:solidFill>
                <a:srgbClr val="000000"/>
              </a:solidFill>
              <a:latin typeface="Calibri"/>
              <a:ea typeface="Calibri"/>
              <a:cs typeface="Calibri"/>
            </a:rPr>
            <a:t>50%</a:t>
          </a:r>
          <a:r>
            <a:rPr lang="en-US" cap="none" sz="1100" b="0" i="0" u="none" baseline="0">
              <a:solidFill>
                <a:srgbClr val="000000"/>
              </a:solidFill>
            </a:rPr>
            <a:t>粒径を入力することで、</a:t>
          </a:r>
          <a:r>
            <a:rPr lang="en-US" cap="none" sz="1100" b="0" i="0" u="none" baseline="0">
              <a:solidFill>
                <a:srgbClr val="000000"/>
              </a:solidFill>
              <a:latin typeface="Calibri"/>
              <a:ea typeface="Calibri"/>
              <a:cs typeface="Calibri"/>
            </a:rPr>
            <a:t>N</a:t>
          </a:r>
          <a:r>
            <a:rPr lang="en-US" cap="none" sz="1100" b="0" i="0" u="none" baseline="0">
              <a:solidFill>
                <a:srgbClr val="000000"/>
              </a:solidFill>
            </a:rPr>
            <a:t>値を補正します。礫質土の場合についてのみご利用ください。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（理論シート参照）</a:t>
          </a:r>
        </a:p>
      </xdr:txBody>
    </xdr:sp>
    <xdr:clientData/>
  </xdr:twoCellAnchor>
  <xdr:twoCellAnchor>
    <xdr:from>
      <xdr:col>4</xdr:col>
      <xdr:colOff>590550</xdr:colOff>
      <xdr:row>39</xdr:row>
      <xdr:rowOff>19050</xdr:rowOff>
    </xdr:from>
    <xdr:to>
      <xdr:col>12</xdr:col>
      <xdr:colOff>228600</xdr:colOff>
      <xdr:row>44</xdr:row>
      <xdr:rowOff>85725</xdr:rowOff>
    </xdr:to>
    <xdr:sp>
      <xdr:nvSpPr>
        <xdr:cNvPr id="14" name="直線コネクタ 14"/>
        <xdr:cNvSpPr>
          <a:spLocks/>
        </xdr:cNvSpPr>
      </xdr:nvSpPr>
      <xdr:spPr>
        <a:xfrm flipH="1" flipV="1">
          <a:off x="2990850" y="6715125"/>
          <a:ext cx="3267075" cy="923925"/>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381000</xdr:colOff>
      <xdr:row>39</xdr:row>
      <xdr:rowOff>28575</xdr:rowOff>
    </xdr:from>
    <xdr:to>
      <xdr:col>4</xdr:col>
      <xdr:colOff>600075</xdr:colOff>
      <xdr:row>39</xdr:row>
      <xdr:rowOff>28575</xdr:rowOff>
    </xdr:to>
    <xdr:sp>
      <xdr:nvSpPr>
        <xdr:cNvPr id="15" name="直線コネクタ 15"/>
        <xdr:cNvSpPr>
          <a:spLocks/>
        </xdr:cNvSpPr>
      </xdr:nvSpPr>
      <xdr:spPr>
        <a:xfrm flipH="1">
          <a:off x="2781300" y="6724650"/>
          <a:ext cx="219075" cy="0"/>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495300</xdr:colOff>
      <xdr:row>26</xdr:row>
      <xdr:rowOff>104775</xdr:rowOff>
    </xdr:from>
    <xdr:to>
      <xdr:col>4</xdr:col>
      <xdr:colOff>266700</xdr:colOff>
      <xdr:row>36</xdr:row>
      <xdr:rowOff>9525</xdr:rowOff>
    </xdr:to>
    <xdr:sp>
      <xdr:nvSpPr>
        <xdr:cNvPr id="16" name="正方形/長方形 16"/>
        <xdr:cNvSpPr>
          <a:spLocks/>
        </xdr:cNvSpPr>
      </xdr:nvSpPr>
      <xdr:spPr>
        <a:xfrm>
          <a:off x="495300" y="4572000"/>
          <a:ext cx="2171700" cy="1619250"/>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100" b="0" i="0" u="none" baseline="0">
              <a:solidFill>
                <a:srgbClr val="000000"/>
              </a:solidFill>
            </a:rPr>
            <a:t>土質を入力すると、デフォルト値として飽和度</a:t>
          </a:r>
          <a:r>
            <a:rPr lang="en-US" cap="none" sz="1100" b="0" i="0" u="none" baseline="0">
              <a:solidFill>
                <a:srgbClr val="000000"/>
              </a:solidFill>
              <a:latin typeface="Calibri"/>
              <a:ea typeface="Calibri"/>
              <a:cs typeface="Calibri"/>
            </a:rPr>
            <a:t>100%</a:t>
          </a:r>
          <a:r>
            <a:rPr lang="en-US" cap="none" sz="1100" b="0" i="0" u="none" baseline="0">
              <a:solidFill>
                <a:srgbClr val="000000"/>
              </a:solidFill>
            </a:rPr>
            <a:t>が入力されます。飽和度を</a:t>
          </a:r>
          <a:r>
            <a:rPr lang="en-US" cap="none" sz="1100" b="0" i="0" u="none" baseline="0">
              <a:solidFill>
                <a:srgbClr val="000000"/>
              </a:solidFill>
              <a:latin typeface="Calibri"/>
              <a:ea typeface="Calibri"/>
              <a:cs typeface="Calibri"/>
            </a:rPr>
            <a:t>100%</a:t>
          </a:r>
          <a:r>
            <a:rPr lang="en-US" cap="none" sz="1100" b="0" i="0" u="none" baseline="0">
              <a:solidFill>
                <a:srgbClr val="000000"/>
              </a:solidFill>
            </a:rPr>
            <a:t>以下にすると、地盤内空気混入化の列に「有」が表示され、液状化安全率の計算において、空気混入化処理に伴う補正を行います。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（理論シート参照）</a:t>
          </a:r>
        </a:p>
      </xdr:txBody>
    </xdr:sp>
    <xdr:clientData/>
  </xdr:twoCellAnchor>
  <xdr:twoCellAnchor>
    <xdr:from>
      <xdr:col>5</xdr:col>
      <xdr:colOff>9525</xdr:colOff>
      <xdr:row>29</xdr:row>
      <xdr:rowOff>57150</xdr:rowOff>
    </xdr:from>
    <xdr:to>
      <xdr:col>11</xdr:col>
      <xdr:colOff>238125</xdr:colOff>
      <xdr:row>35</xdr:row>
      <xdr:rowOff>0</xdr:rowOff>
    </xdr:to>
    <xdr:sp>
      <xdr:nvSpPr>
        <xdr:cNvPr id="17" name="直線コネクタ 17"/>
        <xdr:cNvSpPr>
          <a:spLocks/>
        </xdr:cNvSpPr>
      </xdr:nvSpPr>
      <xdr:spPr>
        <a:xfrm flipH="1" flipV="1">
          <a:off x="3009900" y="5038725"/>
          <a:ext cx="2781300" cy="971550"/>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400050</xdr:colOff>
      <xdr:row>29</xdr:row>
      <xdr:rowOff>57150</xdr:rowOff>
    </xdr:from>
    <xdr:to>
      <xdr:col>5</xdr:col>
      <xdr:colOff>9525</xdr:colOff>
      <xdr:row>29</xdr:row>
      <xdr:rowOff>57150</xdr:rowOff>
    </xdr:to>
    <xdr:sp>
      <xdr:nvSpPr>
        <xdr:cNvPr id="18" name="直線コネクタ 18"/>
        <xdr:cNvSpPr>
          <a:spLocks/>
        </xdr:cNvSpPr>
      </xdr:nvSpPr>
      <xdr:spPr>
        <a:xfrm flipH="1">
          <a:off x="2800350" y="5038725"/>
          <a:ext cx="209550" cy="0"/>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495300</xdr:colOff>
      <xdr:row>18</xdr:row>
      <xdr:rowOff>85725</xdr:rowOff>
    </xdr:from>
    <xdr:to>
      <xdr:col>4</xdr:col>
      <xdr:colOff>276225</xdr:colOff>
      <xdr:row>25</xdr:row>
      <xdr:rowOff>47625</xdr:rowOff>
    </xdr:to>
    <xdr:sp>
      <xdr:nvSpPr>
        <xdr:cNvPr id="19" name="正方形/長方形 19"/>
        <xdr:cNvSpPr>
          <a:spLocks/>
        </xdr:cNvSpPr>
      </xdr:nvSpPr>
      <xdr:spPr>
        <a:xfrm>
          <a:off x="495300" y="3181350"/>
          <a:ext cx="2181225" cy="1162050"/>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100" b="0" i="0" u="none" baseline="0">
              <a:solidFill>
                <a:srgbClr val="000000"/>
              </a:solidFill>
            </a:rPr>
            <a:t>深度（地表面からの深さ）</a:t>
          </a:r>
          <a:r>
            <a:rPr lang="en-US" cap="none" sz="1100" b="0" i="0" u="none" baseline="0">
              <a:solidFill>
                <a:srgbClr val="000000"/>
              </a:solidFill>
              <a:latin typeface="Calibri"/>
              <a:ea typeface="Calibri"/>
              <a:cs typeface="Calibri"/>
            </a:rPr>
            <a:t>0.5m</a:t>
          </a:r>
          <a:r>
            <a:rPr lang="en-US" cap="none" sz="1100" b="0" i="0" u="none" baseline="0">
              <a:solidFill>
                <a:srgbClr val="000000"/>
              </a:solidFill>
            </a:rPr>
            <a:t>毎に、土質と試験結果（細粒分含有率、</a:t>
          </a:r>
          <a:r>
            <a:rPr lang="en-US" cap="none" sz="1100" b="0" i="0" u="none" baseline="0">
              <a:solidFill>
                <a:srgbClr val="000000"/>
              </a:solidFill>
              <a:latin typeface="Calibri"/>
              <a:ea typeface="Calibri"/>
              <a:cs typeface="Calibri"/>
            </a:rPr>
            <a:t>N</a:t>
          </a:r>
          <a:r>
            <a:rPr lang="en-US" cap="none" sz="1100" b="0" i="0" u="none" baseline="0">
              <a:solidFill>
                <a:srgbClr val="000000"/>
              </a:solidFill>
            </a:rPr>
            <a:t>値、単位体積重量）を入力します。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土質は、ドロップダウンリストから入力します。</a:t>
          </a:r>
          <a:r>
            <a:rPr lang="en-US" cap="none" sz="1100" b="0" i="0" u="none" baseline="0">
              <a:solidFill>
                <a:srgbClr val="000000"/>
              </a:solidFill>
              <a:latin typeface="Calibri"/>
              <a:ea typeface="Calibri"/>
              <a:cs typeface="Calibri"/>
            </a:rPr>
            <a:t>
</a:t>
          </a:r>
        </a:p>
      </xdr:txBody>
    </xdr:sp>
    <xdr:clientData/>
  </xdr:twoCellAnchor>
  <xdr:twoCellAnchor>
    <xdr:from>
      <xdr:col>5</xdr:col>
      <xdr:colOff>28575</xdr:colOff>
      <xdr:row>21</xdr:row>
      <xdr:rowOff>57150</xdr:rowOff>
    </xdr:from>
    <xdr:to>
      <xdr:col>7</xdr:col>
      <xdr:colOff>171450</xdr:colOff>
      <xdr:row>23</xdr:row>
      <xdr:rowOff>76200</xdr:rowOff>
    </xdr:to>
    <xdr:sp>
      <xdr:nvSpPr>
        <xdr:cNvPr id="20" name="直線コネクタ 20"/>
        <xdr:cNvSpPr>
          <a:spLocks/>
        </xdr:cNvSpPr>
      </xdr:nvSpPr>
      <xdr:spPr>
        <a:xfrm flipH="1" flipV="1">
          <a:off x="3028950" y="3667125"/>
          <a:ext cx="790575" cy="361950"/>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428625</xdr:colOff>
      <xdr:row>21</xdr:row>
      <xdr:rowOff>57150</xdr:rowOff>
    </xdr:from>
    <xdr:to>
      <xdr:col>5</xdr:col>
      <xdr:colOff>38100</xdr:colOff>
      <xdr:row>21</xdr:row>
      <xdr:rowOff>57150</xdr:rowOff>
    </xdr:to>
    <xdr:sp>
      <xdr:nvSpPr>
        <xdr:cNvPr id="21" name="直線コネクタ 21"/>
        <xdr:cNvSpPr>
          <a:spLocks/>
        </xdr:cNvSpPr>
      </xdr:nvSpPr>
      <xdr:spPr>
        <a:xfrm flipH="1">
          <a:off x="2828925" y="3667125"/>
          <a:ext cx="209550" cy="0"/>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361950</xdr:colOff>
      <xdr:row>2</xdr:row>
      <xdr:rowOff>85725</xdr:rowOff>
    </xdr:from>
    <xdr:to>
      <xdr:col>22</xdr:col>
      <xdr:colOff>9525</xdr:colOff>
      <xdr:row>5</xdr:row>
      <xdr:rowOff>123825</xdr:rowOff>
    </xdr:to>
    <xdr:sp>
      <xdr:nvSpPr>
        <xdr:cNvPr id="22" name="正方形/長方形 22"/>
        <xdr:cNvSpPr>
          <a:spLocks/>
        </xdr:cNvSpPr>
      </xdr:nvSpPr>
      <xdr:spPr>
        <a:xfrm>
          <a:off x="9096375" y="447675"/>
          <a:ext cx="2238375" cy="581025"/>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100" b="0" i="0" u="none" baseline="0">
              <a:solidFill>
                <a:srgbClr val="000000"/>
              </a:solidFill>
            </a:rPr>
            <a:t>メルクマールの地震規模が規定値で入力されています。</a:t>
          </a:r>
        </a:p>
      </xdr:txBody>
    </xdr:sp>
    <xdr:clientData/>
  </xdr:twoCellAnchor>
  <xdr:twoCellAnchor>
    <xdr:from>
      <xdr:col>17</xdr:col>
      <xdr:colOff>28575</xdr:colOff>
      <xdr:row>7</xdr:row>
      <xdr:rowOff>95250</xdr:rowOff>
    </xdr:from>
    <xdr:to>
      <xdr:col>18</xdr:col>
      <xdr:colOff>257175</xdr:colOff>
      <xdr:row>7</xdr:row>
      <xdr:rowOff>104775</xdr:rowOff>
    </xdr:to>
    <xdr:sp>
      <xdr:nvSpPr>
        <xdr:cNvPr id="23" name="直線コネクタ 23"/>
        <xdr:cNvSpPr>
          <a:spLocks/>
        </xdr:cNvSpPr>
      </xdr:nvSpPr>
      <xdr:spPr>
        <a:xfrm flipH="1" flipV="1">
          <a:off x="8162925" y="1381125"/>
          <a:ext cx="828675" cy="9525"/>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371475</xdr:colOff>
      <xdr:row>6</xdr:row>
      <xdr:rowOff>9525</xdr:rowOff>
    </xdr:from>
    <xdr:to>
      <xdr:col>22</xdr:col>
      <xdr:colOff>0</xdr:colOff>
      <xdr:row>9</xdr:row>
      <xdr:rowOff>114300</xdr:rowOff>
    </xdr:to>
    <xdr:sp>
      <xdr:nvSpPr>
        <xdr:cNvPr id="24" name="正方形/長方形 24"/>
        <xdr:cNvSpPr>
          <a:spLocks/>
        </xdr:cNvSpPr>
      </xdr:nvSpPr>
      <xdr:spPr>
        <a:xfrm>
          <a:off x="9105900" y="1104900"/>
          <a:ext cx="2219325" cy="638175"/>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100" b="0" i="0" u="none" baseline="0">
              <a:solidFill>
                <a:srgbClr val="000000"/>
              </a:solidFill>
            </a:rPr>
            <a:t>地</a:t>
          </a:r>
          <a:r>
            <a:rPr lang="en-US" cap="none" sz="1100" b="0" i="0" u="none" baseline="0">
              <a:solidFill>
                <a:srgbClr val="000000"/>
              </a:solidFill>
            </a:rPr>
            <a:t>表面加速度と震源のマグニチュードを任意に入力します。</a:t>
          </a:r>
        </a:p>
      </xdr:txBody>
    </xdr:sp>
    <xdr:clientData/>
  </xdr:twoCellAnchor>
  <xdr:twoCellAnchor>
    <xdr:from>
      <xdr:col>17</xdr:col>
      <xdr:colOff>142875</xdr:colOff>
      <xdr:row>4</xdr:row>
      <xdr:rowOff>19050</xdr:rowOff>
    </xdr:from>
    <xdr:to>
      <xdr:col>18</xdr:col>
      <xdr:colOff>38100</xdr:colOff>
      <xdr:row>5</xdr:row>
      <xdr:rowOff>171450</xdr:rowOff>
    </xdr:to>
    <xdr:sp>
      <xdr:nvSpPr>
        <xdr:cNvPr id="25" name="直線コネクタ 25"/>
        <xdr:cNvSpPr>
          <a:spLocks/>
        </xdr:cNvSpPr>
      </xdr:nvSpPr>
      <xdr:spPr>
        <a:xfrm flipH="1">
          <a:off x="8277225" y="733425"/>
          <a:ext cx="495300" cy="342900"/>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9525</xdr:colOff>
      <xdr:row>4</xdr:row>
      <xdr:rowOff>38100</xdr:rowOff>
    </xdr:from>
    <xdr:to>
      <xdr:col>18</xdr:col>
      <xdr:colOff>219075</xdr:colOff>
      <xdr:row>4</xdr:row>
      <xdr:rowOff>38100</xdr:rowOff>
    </xdr:to>
    <xdr:sp>
      <xdr:nvSpPr>
        <xdr:cNvPr id="26" name="直線コネクタ 26"/>
        <xdr:cNvSpPr>
          <a:spLocks/>
        </xdr:cNvSpPr>
      </xdr:nvSpPr>
      <xdr:spPr>
        <a:xfrm flipH="1">
          <a:off x="8743950" y="752475"/>
          <a:ext cx="209550" cy="0"/>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5</xdr:row>
      <xdr:rowOff>76200</xdr:rowOff>
    </xdr:from>
    <xdr:ext cx="38100" cy="266700"/>
    <xdr:sp fLocksText="0">
      <xdr:nvSpPr>
        <xdr:cNvPr id="1" name="テキスト ボックス 1"/>
        <xdr:cNvSpPr txBox="1">
          <a:spLocks noChangeArrowheads="1"/>
        </xdr:cNvSpPr>
      </xdr:nvSpPr>
      <xdr:spPr>
        <a:xfrm>
          <a:off x="4143375"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58</xdr:row>
      <xdr:rowOff>95250</xdr:rowOff>
    </xdr:from>
    <xdr:ext cx="38100" cy="276225"/>
    <xdr:sp fLocksText="0">
      <xdr:nvSpPr>
        <xdr:cNvPr id="2" name="テキスト ボックス 1"/>
        <xdr:cNvSpPr txBox="1">
          <a:spLocks noChangeArrowheads="1"/>
        </xdr:cNvSpPr>
      </xdr:nvSpPr>
      <xdr:spPr>
        <a:xfrm>
          <a:off x="2143125" y="10048875"/>
          <a:ext cx="381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5</xdr:row>
      <xdr:rowOff>76200</xdr:rowOff>
    </xdr:from>
    <xdr:ext cx="38100" cy="266700"/>
    <xdr:sp fLocksText="0">
      <xdr:nvSpPr>
        <xdr:cNvPr id="3" name="テキスト ボックス 1"/>
        <xdr:cNvSpPr txBox="1">
          <a:spLocks noChangeArrowheads="1"/>
        </xdr:cNvSpPr>
      </xdr:nvSpPr>
      <xdr:spPr>
        <a:xfrm>
          <a:off x="4143375"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32</xdr:col>
      <xdr:colOff>0</xdr:colOff>
      <xdr:row>5</xdr:row>
      <xdr:rowOff>76200</xdr:rowOff>
    </xdr:from>
    <xdr:ext cx="38100" cy="266700"/>
    <xdr:sp fLocksText="0">
      <xdr:nvSpPr>
        <xdr:cNvPr id="4" name="テキスト ボックス 4"/>
        <xdr:cNvSpPr txBox="1">
          <a:spLocks noChangeArrowheads="1"/>
        </xdr:cNvSpPr>
      </xdr:nvSpPr>
      <xdr:spPr>
        <a:xfrm>
          <a:off x="16535400"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58</xdr:row>
      <xdr:rowOff>95250</xdr:rowOff>
    </xdr:from>
    <xdr:ext cx="38100" cy="276225"/>
    <xdr:sp fLocksText="0">
      <xdr:nvSpPr>
        <xdr:cNvPr id="5" name="テキスト ボックス 1"/>
        <xdr:cNvSpPr txBox="1">
          <a:spLocks noChangeArrowheads="1"/>
        </xdr:cNvSpPr>
      </xdr:nvSpPr>
      <xdr:spPr>
        <a:xfrm>
          <a:off x="2143125" y="10048875"/>
          <a:ext cx="381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32</xdr:col>
      <xdr:colOff>0</xdr:colOff>
      <xdr:row>5</xdr:row>
      <xdr:rowOff>76200</xdr:rowOff>
    </xdr:from>
    <xdr:ext cx="38100" cy="266700"/>
    <xdr:sp fLocksText="0">
      <xdr:nvSpPr>
        <xdr:cNvPr id="6" name="テキスト ボックス 1"/>
        <xdr:cNvSpPr txBox="1">
          <a:spLocks noChangeArrowheads="1"/>
        </xdr:cNvSpPr>
      </xdr:nvSpPr>
      <xdr:spPr>
        <a:xfrm>
          <a:off x="16535400"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76200</xdr:rowOff>
    </xdr:from>
    <xdr:ext cx="38100" cy="266700"/>
    <xdr:sp fLocksText="0">
      <xdr:nvSpPr>
        <xdr:cNvPr id="7" name="テキスト ボックス 7"/>
        <xdr:cNvSpPr txBox="1">
          <a:spLocks noChangeArrowheads="1"/>
        </xdr:cNvSpPr>
      </xdr:nvSpPr>
      <xdr:spPr>
        <a:xfrm>
          <a:off x="4143375" y="800100"/>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76200</xdr:rowOff>
    </xdr:from>
    <xdr:ext cx="38100" cy="266700"/>
    <xdr:sp fLocksText="0">
      <xdr:nvSpPr>
        <xdr:cNvPr id="8" name="テキスト ボックス 1"/>
        <xdr:cNvSpPr txBox="1">
          <a:spLocks noChangeArrowheads="1"/>
        </xdr:cNvSpPr>
      </xdr:nvSpPr>
      <xdr:spPr>
        <a:xfrm>
          <a:off x="4143375" y="800100"/>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13</xdr:col>
      <xdr:colOff>19050</xdr:colOff>
      <xdr:row>31</xdr:row>
      <xdr:rowOff>142875</xdr:rowOff>
    </xdr:from>
    <xdr:to>
      <xdr:col>24</xdr:col>
      <xdr:colOff>9525</xdr:colOff>
      <xdr:row>53</xdr:row>
      <xdr:rowOff>133350</xdr:rowOff>
    </xdr:to>
    <xdr:sp>
      <xdr:nvSpPr>
        <xdr:cNvPr id="9" name="正方形/長方形 9"/>
        <xdr:cNvSpPr>
          <a:spLocks/>
        </xdr:cNvSpPr>
      </xdr:nvSpPr>
      <xdr:spPr>
        <a:xfrm>
          <a:off x="6457950" y="5448300"/>
          <a:ext cx="5486400" cy="3762375"/>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e-logp</a:t>
          </a:r>
          <a:r>
            <a:rPr lang="en-US" cap="none" sz="1100" b="0" i="0" u="none" baseline="0">
              <a:solidFill>
                <a:srgbClr val="000000"/>
              </a:solidFill>
            </a:rPr>
            <a:t>曲線は、一般にある大きな荷重</a:t>
          </a:r>
          <a:r>
            <a:rPr lang="en-US" cap="none" sz="1100" b="0" i="0" u="none" baseline="0">
              <a:solidFill>
                <a:srgbClr val="000000"/>
              </a:solidFill>
              <a:latin typeface="Calibri"/>
              <a:ea typeface="Calibri"/>
              <a:cs typeface="Calibri"/>
            </a:rPr>
            <a:t>Pc</a:t>
          </a:r>
          <a:r>
            <a:rPr lang="en-US" cap="none" sz="1100" b="0" i="0" u="none" baseline="0">
              <a:solidFill>
                <a:srgbClr val="000000"/>
              </a:solidFill>
            </a:rPr>
            <a:t>で折れ曲がるが、この折れ曲がり点を超えた過圧密領域の直線部分の傾きを圧縮指数</a:t>
          </a:r>
          <a:r>
            <a:rPr lang="en-US" cap="none" sz="1100" b="0" i="0" u="none" baseline="0">
              <a:solidFill>
                <a:srgbClr val="000000"/>
              </a:solidFill>
              <a:latin typeface="Calibri"/>
              <a:ea typeface="Calibri"/>
              <a:cs typeface="Calibri"/>
            </a:rPr>
            <a:t>Cc</a:t>
          </a:r>
          <a:r>
            <a:rPr lang="en-US" cap="none" sz="1100" b="0" i="0" u="none" baseline="0">
              <a:solidFill>
                <a:srgbClr val="000000"/>
              </a:solidFill>
            </a:rPr>
            <a:t>と呼びます。このため、勾配の傾きが大きいため、増加荷重</a:t>
          </a:r>
          <a:r>
            <a:rPr lang="en-US" cap="none" sz="1100" b="0" i="0" u="none" baseline="0">
              <a:solidFill>
                <a:srgbClr val="000000"/>
              </a:solidFill>
              <a:latin typeface="Calibri"/>
              <a:ea typeface="Calibri"/>
              <a:cs typeface="Calibri"/>
            </a:rPr>
            <a:t>(</a:t>
          </a:r>
          <a:r>
            <a:rPr lang="en-US" cap="none" sz="1100" b="0" i="0" u="none" baseline="0">
              <a:solidFill>
                <a:srgbClr val="000000"/>
              </a:solidFill>
            </a:rPr>
            <a:t>△</a:t>
          </a:r>
          <a:r>
            <a:rPr lang="en-US" cap="none" sz="1100" b="0" i="0" u="none" baseline="0">
              <a:solidFill>
                <a:srgbClr val="000000"/>
              </a:solidFill>
              <a:latin typeface="Calibri"/>
              <a:ea typeface="Calibri"/>
              <a:cs typeface="Calibri"/>
            </a:rPr>
            <a:t>P)</a:t>
          </a:r>
          <a:r>
            <a:rPr lang="en-US" cap="none" sz="1100" b="0" i="0" u="none" baseline="0">
              <a:solidFill>
                <a:srgbClr val="000000"/>
              </a:solidFill>
            </a:rPr>
            <a:t>が少なくても圧密沈下量が過大となります。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15</xdr:col>
      <xdr:colOff>114300</xdr:colOff>
      <xdr:row>36</xdr:row>
      <xdr:rowOff>47625</xdr:rowOff>
    </xdr:from>
    <xdr:to>
      <xdr:col>21</xdr:col>
      <xdr:colOff>304800</xdr:colOff>
      <xdr:row>51</xdr:row>
      <xdr:rowOff>38100</xdr:rowOff>
    </xdr:to>
    <xdr:pic>
      <xdr:nvPicPr>
        <xdr:cNvPr id="10" name="図 21"/>
        <xdr:cNvPicPr preferRelativeResize="1">
          <a:picLocks noChangeAspect="1"/>
        </xdr:cNvPicPr>
      </xdr:nvPicPr>
      <xdr:blipFill>
        <a:blip r:embed="rId1"/>
        <a:stretch>
          <a:fillRect/>
        </a:stretch>
      </xdr:blipFill>
      <xdr:spPr>
        <a:xfrm>
          <a:off x="7591425" y="6210300"/>
          <a:ext cx="3162300" cy="2562225"/>
        </a:xfrm>
        <a:prstGeom prst="rect">
          <a:avLst/>
        </a:prstGeom>
        <a:noFill/>
        <a:ln w="9525" cmpd="sng">
          <a:noFill/>
        </a:ln>
      </xdr:spPr>
    </xdr:pic>
    <xdr:clientData/>
  </xdr:twoCellAnchor>
  <xdr:twoCellAnchor>
    <xdr:from>
      <xdr:col>16</xdr:col>
      <xdr:colOff>428625</xdr:colOff>
      <xdr:row>38</xdr:row>
      <xdr:rowOff>133350</xdr:rowOff>
    </xdr:from>
    <xdr:to>
      <xdr:col>18</xdr:col>
      <xdr:colOff>19050</xdr:colOff>
      <xdr:row>42</xdr:row>
      <xdr:rowOff>19050</xdr:rowOff>
    </xdr:to>
    <xdr:sp>
      <xdr:nvSpPr>
        <xdr:cNvPr id="11" name="直線コネクタ 11"/>
        <xdr:cNvSpPr>
          <a:spLocks/>
        </xdr:cNvSpPr>
      </xdr:nvSpPr>
      <xdr:spPr>
        <a:xfrm flipH="1" flipV="1">
          <a:off x="8401050" y="6638925"/>
          <a:ext cx="581025" cy="571500"/>
        </a:xfrm>
        <a:prstGeom prst="line">
          <a:avLst/>
        </a:prstGeom>
        <a:noFill/>
        <a:ln w="28575" cmpd="sng">
          <a:solidFill>
            <a:srgbClr val="FFFFFF"/>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371475</xdr:colOff>
      <xdr:row>34</xdr:row>
      <xdr:rowOff>47625</xdr:rowOff>
    </xdr:from>
    <xdr:to>
      <xdr:col>9</xdr:col>
      <xdr:colOff>304800</xdr:colOff>
      <xdr:row>43</xdr:row>
      <xdr:rowOff>104775</xdr:rowOff>
    </xdr:to>
    <xdr:sp>
      <xdr:nvSpPr>
        <xdr:cNvPr id="12" name="正方形/長方形 12"/>
        <xdr:cNvSpPr>
          <a:spLocks/>
        </xdr:cNvSpPr>
      </xdr:nvSpPr>
      <xdr:spPr>
        <a:xfrm>
          <a:off x="1562100" y="5867400"/>
          <a:ext cx="2886075" cy="1600200"/>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100" b="0" i="0" u="none" baseline="0">
              <a:solidFill>
                <a:srgbClr val="000000"/>
              </a:solidFill>
            </a:rPr>
            <a:t>深度（地表面からの深さ）と、土質を入力します。土質は、ドロップダウンリストから入力します。層厚は計算されます。</a:t>
          </a:r>
          <a:r>
            <a:rPr lang="en-US" cap="none" sz="1100" b="0" i="0" u="none" baseline="0">
              <a:solidFill>
                <a:srgbClr val="000000"/>
              </a:solidFill>
              <a:latin typeface="Calibri"/>
              <a:ea typeface="Calibri"/>
              <a:cs typeface="Calibri"/>
            </a:rPr>
            <a:t>
</a:t>
          </a:r>
          <a:r>
            <a:rPr lang="en-US" cap="none" sz="1100" b="0" i="0" u="none" baseline="0">
              <a:solidFill>
                <a:srgbClr val="800000"/>
              </a:solidFill>
            </a:rPr>
            <a:t>圧密沈下は、基盤層より上部であれば相当深い層でも起こります。必ず十分な深さまで入力可能な地盤調査データを用いてください。</a:t>
          </a:r>
        </a:p>
      </xdr:txBody>
    </xdr:sp>
    <xdr:clientData/>
  </xdr:twoCellAnchor>
  <xdr:twoCellAnchor>
    <xdr:from>
      <xdr:col>2</xdr:col>
      <xdr:colOff>428625</xdr:colOff>
      <xdr:row>37</xdr:row>
      <xdr:rowOff>57150</xdr:rowOff>
    </xdr:from>
    <xdr:to>
      <xdr:col>3</xdr:col>
      <xdr:colOff>285750</xdr:colOff>
      <xdr:row>37</xdr:row>
      <xdr:rowOff>57150</xdr:rowOff>
    </xdr:to>
    <xdr:sp>
      <xdr:nvSpPr>
        <xdr:cNvPr id="13" name="直線コネクタ 13"/>
        <xdr:cNvSpPr>
          <a:spLocks/>
        </xdr:cNvSpPr>
      </xdr:nvSpPr>
      <xdr:spPr>
        <a:xfrm flipH="1">
          <a:off x="1143000" y="6391275"/>
          <a:ext cx="333375" cy="0"/>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24</xdr:row>
      <xdr:rowOff>133350</xdr:rowOff>
    </xdr:from>
    <xdr:to>
      <xdr:col>2</xdr:col>
      <xdr:colOff>438150</xdr:colOff>
      <xdr:row>37</xdr:row>
      <xdr:rowOff>47625</xdr:rowOff>
    </xdr:to>
    <xdr:sp>
      <xdr:nvSpPr>
        <xdr:cNvPr id="14" name="直線コネクタ 14"/>
        <xdr:cNvSpPr>
          <a:spLocks/>
        </xdr:cNvSpPr>
      </xdr:nvSpPr>
      <xdr:spPr>
        <a:xfrm flipH="1" flipV="1">
          <a:off x="714375" y="4238625"/>
          <a:ext cx="438150" cy="2143125"/>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114300</xdr:colOff>
      <xdr:row>23</xdr:row>
      <xdr:rowOff>142875</xdr:rowOff>
    </xdr:from>
    <xdr:to>
      <xdr:col>11</xdr:col>
      <xdr:colOff>438150</xdr:colOff>
      <xdr:row>33</xdr:row>
      <xdr:rowOff>85725</xdr:rowOff>
    </xdr:to>
    <xdr:sp>
      <xdr:nvSpPr>
        <xdr:cNvPr id="15" name="正方形/長方形 15"/>
        <xdr:cNvSpPr>
          <a:spLocks/>
        </xdr:cNvSpPr>
      </xdr:nvSpPr>
      <xdr:spPr>
        <a:xfrm>
          <a:off x="3209925" y="4067175"/>
          <a:ext cx="2571750" cy="1666875"/>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Cc</a:t>
          </a:r>
          <a:r>
            <a:rPr lang="en-US" cap="none" sz="1100" b="0" i="0" u="none" baseline="0">
              <a:solidFill>
                <a:srgbClr val="000000"/>
              </a:solidFill>
            </a:rPr>
            <a:t>法で地下水位低下に伴う圧密沈下量を計算するために、初期間隙比と圧縮係数を入力します。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e-logp</a:t>
          </a:r>
          <a:r>
            <a:rPr lang="en-US" cap="none" sz="1100" b="0" i="0" u="none" baseline="0">
              <a:solidFill>
                <a:srgbClr val="000000"/>
              </a:solidFill>
            </a:rPr>
            <a:t>法で圧密沈下量を計算するためには、右の表に</a:t>
          </a:r>
          <a:r>
            <a:rPr lang="en-US" cap="none" sz="1100" b="0" i="0" u="none" baseline="0">
              <a:solidFill>
                <a:srgbClr val="000000"/>
              </a:solidFill>
              <a:latin typeface="Calibri"/>
              <a:ea typeface="Calibri"/>
              <a:cs typeface="Calibri"/>
            </a:rPr>
            <a:t>e-logp</a:t>
          </a:r>
          <a:r>
            <a:rPr lang="en-US" cap="none" sz="1100" b="0" i="0" u="none" baseline="0">
              <a:solidFill>
                <a:srgbClr val="000000"/>
              </a:solidFill>
            </a:rPr>
            <a:t>曲線を入力したの後、対応する曲線番号を入力します。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圧密沈下量の計算は、粘性土に対して行います。</a:t>
          </a:r>
          <a:r>
            <a:rPr lang="en-US" cap="none" sz="1100" b="0" i="0" u="none" baseline="0">
              <a:solidFill>
                <a:srgbClr val="000000"/>
              </a:solidFill>
              <a:latin typeface="Calibri"/>
              <a:ea typeface="Calibri"/>
              <a:cs typeface="Calibri"/>
            </a:rPr>
            <a:t>
</a:t>
          </a:r>
        </a:p>
      </xdr:txBody>
    </xdr:sp>
    <xdr:clientData/>
  </xdr:twoCellAnchor>
  <xdr:twoCellAnchor>
    <xdr:from>
      <xdr:col>18</xdr:col>
      <xdr:colOff>142875</xdr:colOff>
      <xdr:row>15</xdr:row>
      <xdr:rowOff>142875</xdr:rowOff>
    </xdr:from>
    <xdr:to>
      <xdr:col>23</xdr:col>
      <xdr:colOff>400050</xdr:colOff>
      <xdr:row>21</xdr:row>
      <xdr:rowOff>161925</xdr:rowOff>
    </xdr:to>
    <xdr:sp>
      <xdr:nvSpPr>
        <xdr:cNvPr id="16" name="正方形/長方形 16"/>
        <xdr:cNvSpPr>
          <a:spLocks/>
        </xdr:cNvSpPr>
      </xdr:nvSpPr>
      <xdr:spPr>
        <a:xfrm>
          <a:off x="9105900" y="2695575"/>
          <a:ext cx="2733675" cy="1047750"/>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100" b="0" i="0" u="none" baseline="0">
              <a:solidFill>
                <a:srgbClr val="000000"/>
              </a:solidFill>
            </a:rPr>
            <a:t>土質試験により得られた</a:t>
          </a:r>
          <a:r>
            <a:rPr lang="en-US" cap="none" sz="1100" b="0" i="0" u="none" baseline="0">
              <a:solidFill>
                <a:srgbClr val="000000"/>
              </a:solidFill>
              <a:latin typeface="Calibri"/>
              <a:ea typeface="Calibri"/>
              <a:cs typeface="Calibri"/>
            </a:rPr>
            <a:t>e-logp</a:t>
          </a:r>
          <a:r>
            <a:rPr lang="en-US" cap="none" sz="1100" b="0" i="0" u="none" baseline="0">
              <a:solidFill>
                <a:srgbClr val="000000"/>
              </a:solidFill>
            </a:rPr>
            <a:t>曲線を折線で入力します。</a:t>
          </a:r>
          <a:r>
            <a:rPr lang="en-US" cap="none" sz="1100" b="0" i="0" u="none" baseline="0">
              <a:solidFill>
                <a:srgbClr val="000000"/>
              </a:solidFill>
              <a:latin typeface="Calibri"/>
              <a:ea typeface="Calibri"/>
              <a:cs typeface="Calibri"/>
            </a:rPr>
            <a:t>5</a:t>
          </a:r>
          <a:r>
            <a:rPr lang="en-US" cap="none" sz="1100" b="0" i="0" u="none" baseline="0">
              <a:solidFill>
                <a:srgbClr val="000000"/>
              </a:solidFill>
            </a:rPr>
            <a:t>種類の曲線まで入力可能です。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曲線の番号は、左表の「</a:t>
          </a:r>
          <a:r>
            <a:rPr lang="en-US" cap="none" sz="1100" b="0" i="0" u="none" baseline="0">
              <a:solidFill>
                <a:srgbClr val="000000"/>
              </a:solidFill>
              <a:latin typeface="Calibri"/>
              <a:ea typeface="Calibri"/>
              <a:cs typeface="Calibri"/>
            </a:rPr>
            <a:t>elogp</a:t>
          </a:r>
          <a:r>
            <a:rPr lang="en-US" cap="none" sz="1100" b="0" i="0" u="none" baseline="0">
              <a:solidFill>
                <a:srgbClr val="000000"/>
              </a:solidFill>
            </a:rPr>
            <a:t>曲線番号」に対応しています。</a:t>
          </a:r>
        </a:p>
      </xdr:txBody>
    </xdr:sp>
    <xdr:clientData/>
  </xdr:twoCellAnchor>
  <xdr:twoCellAnchor>
    <xdr:from>
      <xdr:col>13</xdr:col>
      <xdr:colOff>9525</xdr:colOff>
      <xdr:row>2</xdr:row>
      <xdr:rowOff>114300</xdr:rowOff>
    </xdr:from>
    <xdr:to>
      <xdr:col>21</xdr:col>
      <xdr:colOff>28575</xdr:colOff>
      <xdr:row>8</xdr:row>
      <xdr:rowOff>104775</xdr:rowOff>
    </xdr:to>
    <xdr:sp>
      <xdr:nvSpPr>
        <xdr:cNvPr id="17" name="正方形/長方形 17"/>
        <xdr:cNvSpPr>
          <a:spLocks/>
        </xdr:cNvSpPr>
      </xdr:nvSpPr>
      <xdr:spPr>
        <a:xfrm>
          <a:off x="6448425" y="476250"/>
          <a:ext cx="4029075" cy="1057275"/>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100" b="0" i="0" u="none" baseline="0">
              <a:solidFill>
                <a:srgbClr val="000000"/>
              </a:solidFill>
            </a:rPr>
            <a:t>二つの方法で計算された圧密沈下量を表示します。</a:t>
          </a:r>
          <a:r>
            <a:rPr lang="en-US" cap="none" sz="1100" b="0" i="0" u="none" baseline="0">
              <a:solidFill>
                <a:srgbClr val="000000"/>
              </a:solidFill>
              <a:latin typeface="Calibri"/>
              <a:ea typeface="Calibri"/>
              <a:cs typeface="Calibri"/>
            </a:rPr>
            <a:t>
</a:t>
          </a:r>
          <a:r>
            <a:rPr lang="en-US" cap="none" sz="1100" b="0" i="0" u="none" baseline="0">
              <a:solidFill>
                <a:srgbClr val="800000"/>
              </a:solidFill>
              <a:latin typeface="Calibri"/>
              <a:ea typeface="Calibri"/>
              <a:cs typeface="Calibri"/>
            </a:rPr>
            <a:t>Cc</a:t>
          </a:r>
          <a:r>
            <a:rPr lang="en-US" cap="none" sz="1100" b="0" i="0" u="none" baseline="0">
              <a:solidFill>
                <a:srgbClr val="800000"/>
              </a:solidFill>
            </a:rPr>
            <a:t>法は、圧密試験を行っていない場合に用いる簡易な計算法で、地下水位の低下量が小さい場合には、圧密沈下量が</a:t>
          </a:r>
          <a:r>
            <a:rPr lang="en-US" cap="none" sz="1100" b="0" i="0" u="none" baseline="0">
              <a:solidFill>
                <a:srgbClr val="800000"/>
              </a:solidFill>
            </a:rPr>
            <a:t>過大</a:t>
          </a:r>
          <a:r>
            <a:rPr lang="en-US" cap="none" sz="1100" b="0" i="0" u="none" baseline="0">
              <a:solidFill>
                <a:srgbClr val="800000"/>
              </a:solidFill>
            </a:rPr>
            <a:t>に出る傾向があります（</a:t>
          </a:r>
          <a:r>
            <a:rPr lang="en-US" cap="none" sz="1100" b="0" i="0" u="none" baseline="0">
              <a:solidFill>
                <a:srgbClr val="800000"/>
              </a:solidFill>
            </a:rPr>
            <a:t>参考</a:t>
          </a:r>
          <a:r>
            <a:rPr lang="en-US" cap="none" sz="1100" b="0" i="0" u="none" baseline="0">
              <a:solidFill>
                <a:srgbClr val="800000"/>
              </a:solidFill>
            </a:rPr>
            <a:t>図参照）。</a:t>
          </a:r>
        </a:p>
      </xdr:txBody>
    </xdr:sp>
    <xdr:clientData/>
  </xdr:twoCellAnchor>
  <xdr:twoCellAnchor>
    <xdr:from>
      <xdr:col>5</xdr:col>
      <xdr:colOff>447675</xdr:colOff>
      <xdr:row>17</xdr:row>
      <xdr:rowOff>152400</xdr:rowOff>
    </xdr:from>
    <xdr:to>
      <xdr:col>6</xdr:col>
      <xdr:colOff>333375</xdr:colOff>
      <xdr:row>25</xdr:row>
      <xdr:rowOff>161925</xdr:rowOff>
    </xdr:to>
    <xdr:sp>
      <xdr:nvSpPr>
        <xdr:cNvPr id="18" name="直線コネクタ 18"/>
        <xdr:cNvSpPr>
          <a:spLocks/>
        </xdr:cNvSpPr>
      </xdr:nvSpPr>
      <xdr:spPr>
        <a:xfrm flipH="1" flipV="1">
          <a:off x="2590800" y="3048000"/>
          <a:ext cx="361950" cy="1390650"/>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342900</xdr:colOff>
      <xdr:row>25</xdr:row>
      <xdr:rowOff>152400</xdr:rowOff>
    </xdr:from>
    <xdr:to>
      <xdr:col>7</xdr:col>
      <xdr:colOff>76200</xdr:colOff>
      <xdr:row>25</xdr:row>
      <xdr:rowOff>152400</xdr:rowOff>
    </xdr:to>
    <xdr:sp>
      <xdr:nvSpPr>
        <xdr:cNvPr id="19" name="直線コネクタ 19"/>
        <xdr:cNvSpPr>
          <a:spLocks/>
        </xdr:cNvSpPr>
      </xdr:nvSpPr>
      <xdr:spPr>
        <a:xfrm flipH="1">
          <a:off x="2962275" y="4429125"/>
          <a:ext cx="209550" cy="0"/>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523875</xdr:colOff>
      <xdr:row>4</xdr:row>
      <xdr:rowOff>142875</xdr:rowOff>
    </xdr:from>
    <xdr:to>
      <xdr:col>12</xdr:col>
      <xdr:colOff>228600</xdr:colOff>
      <xdr:row>6</xdr:row>
      <xdr:rowOff>0</xdr:rowOff>
    </xdr:to>
    <xdr:sp>
      <xdr:nvSpPr>
        <xdr:cNvPr id="20" name="直線コネクタ 20"/>
        <xdr:cNvSpPr>
          <a:spLocks/>
        </xdr:cNvSpPr>
      </xdr:nvSpPr>
      <xdr:spPr>
        <a:xfrm flipH="1">
          <a:off x="5867400" y="866775"/>
          <a:ext cx="304800" cy="219075"/>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219075</xdr:colOff>
      <xdr:row>4</xdr:row>
      <xdr:rowOff>152400</xdr:rowOff>
    </xdr:from>
    <xdr:to>
      <xdr:col>12</xdr:col>
      <xdr:colOff>419100</xdr:colOff>
      <xdr:row>4</xdr:row>
      <xdr:rowOff>152400</xdr:rowOff>
    </xdr:to>
    <xdr:sp>
      <xdr:nvSpPr>
        <xdr:cNvPr id="21" name="直線コネクタ 21"/>
        <xdr:cNvSpPr>
          <a:spLocks/>
        </xdr:cNvSpPr>
      </xdr:nvSpPr>
      <xdr:spPr>
        <a:xfrm flipH="1">
          <a:off x="6162675" y="876300"/>
          <a:ext cx="200025" cy="0"/>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16</xdr:col>
      <xdr:colOff>266700</xdr:colOff>
      <xdr:row>51</xdr:row>
      <xdr:rowOff>85725</xdr:rowOff>
    </xdr:from>
    <xdr:ext cx="1876425" cy="276225"/>
    <xdr:sp>
      <xdr:nvSpPr>
        <xdr:cNvPr id="22" name="テキスト ボックス 22"/>
        <xdr:cNvSpPr txBox="1">
          <a:spLocks noChangeArrowheads="1"/>
        </xdr:cNvSpPr>
      </xdr:nvSpPr>
      <xdr:spPr>
        <a:xfrm>
          <a:off x="8239125" y="8820150"/>
          <a:ext cx="187642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参考</a:t>
          </a:r>
          <a:r>
            <a:rPr lang="en-US" cap="none" sz="1100" b="0" i="0" u="none" baseline="0">
              <a:solidFill>
                <a:srgbClr val="000000"/>
              </a:solidFill>
              <a:latin typeface="ＭＳ Ｐゴシック"/>
              <a:ea typeface="ＭＳ Ｐゴシック"/>
              <a:cs typeface="ＭＳ Ｐゴシック"/>
            </a:rPr>
            <a:t>図　</a:t>
          </a:r>
          <a:r>
            <a:rPr lang="en-US" cap="none" sz="1100" b="0" i="0" u="none" baseline="0">
              <a:solidFill>
                <a:srgbClr val="000000"/>
              </a:solidFill>
              <a:latin typeface="Calibri"/>
              <a:ea typeface="Calibri"/>
              <a:cs typeface="Calibri"/>
            </a:rPr>
            <a:t>e-logp</a:t>
          </a:r>
          <a:r>
            <a:rPr lang="en-US" cap="none" sz="1100" b="0" i="0" u="none" baseline="0">
              <a:solidFill>
                <a:srgbClr val="000000"/>
              </a:solidFill>
              <a:latin typeface="ＭＳ Ｐゴシック"/>
              <a:ea typeface="ＭＳ Ｐゴシック"/>
              <a:cs typeface="ＭＳ Ｐゴシック"/>
            </a:rPr>
            <a:t>曲線と圧縮係数</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6</xdr:row>
      <xdr:rowOff>76200</xdr:rowOff>
    </xdr:from>
    <xdr:ext cx="38100" cy="266700"/>
    <xdr:sp fLocksText="0">
      <xdr:nvSpPr>
        <xdr:cNvPr id="1" name="テキスト ボックス 1"/>
        <xdr:cNvSpPr txBox="1">
          <a:spLocks noChangeArrowheads="1"/>
        </xdr:cNvSpPr>
      </xdr:nvSpPr>
      <xdr:spPr>
        <a:xfrm>
          <a:off x="5648325" y="1238250"/>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24</xdr:col>
      <xdr:colOff>19050</xdr:colOff>
      <xdr:row>4</xdr:row>
      <xdr:rowOff>133350</xdr:rowOff>
    </xdr:from>
    <xdr:to>
      <xdr:col>26</xdr:col>
      <xdr:colOff>571500</xdr:colOff>
      <xdr:row>7</xdr:row>
      <xdr:rowOff>114300</xdr:rowOff>
    </xdr:to>
    <xdr:grpSp>
      <xdr:nvGrpSpPr>
        <xdr:cNvPr id="2" name="Group 759"/>
        <xdr:cNvGrpSpPr>
          <a:grpSpLocks/>
        </xdr:cNvGrpSpPr>
      </xdr:nvGrpSpPr>
      <xdr:grpSpPr>
        <a:xfrm>
          <a:off x="11287125" y="876300"/>
          <a:ext cx="1647825" cy="609600"/>
          <a:chOff x="1214" y="122"/>
          <a:chExt cx="199" cy="46"/>
        </a:xfrm>
        <a:solidFill>
          <a:srgbClr val="FFFFFF"/>
        </a:solidFill>
      </xdr:grpSpPr>
      <xdr:sp>
        <xdr:nvSpPr>
          <xdr:cNvPr id="3" name="Rectangle 531"/>
          <xdr:cNvSpPr>
            <a:spLocks/>
          </xdr:cNvSpPr>
        </xdr:nvSpPr>
        <xdr:spPr>
          <a:xfrm>
            <a:off x="1214" y="122"/>
            <a:ext cx="174" cy="37"/>
          </a:xfrm>
          <a:prstGeom prst="rect">
            <a:avLst/>
          </a:prstGeom>
          <a:solidFill>
            <a:srgbClr val="FFFFFF"/>
          </a:solidFill>
          <a:ln w="635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Line 528"/>
          <xdr:cNvSpPr>
            <a:spLocks/>
          </xdr:cNvSpPr>
        </xdr:nvSpPr>
        <xdr:spPr>
          <a:xfrm>
            <a:off x="1228" y="136"/>
            <a:ext cx="37" cy="0"/>
          </a:xfrm>
          <a:prstGeom prst="line">
            <a:avLst/>
          </a:prstGeom>
          <a:noFill/>
          <a:ln w="25400" cmpd="sng">
            <a:solidFill>
              <a:srgbClr val="77933C"/>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 name="Text Box 530"/>
          <xdr:cNvSpPr txBox="1">
            <a:spLocks noChangeArrowheads="1"/>
          </xdr:cNvSpPr>
        </xdr:nvSpPr>
        <xdr:spPr>
          <a:xfrm>
            <a:off x="1269" y="128"/>
            <a:ext cx="144" cy="4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初期地下水位</a:t>
            </a:r>
            <a:r>
              <a:rPr lang="en-US" cap="none" sz="900" b="0" i="0" u="none" baseline="0">
                <a:solidFill>
                  <a:srgbClr val="000000"/>
                </a:solidFill>
                <a:latin typeface="ＭＳ Ｐゴシック"/>
                <a:ea typeface="ＭＳ Ｐゴシック"/>
                <a:cs typeface="ＭＳ Ｐゴシック"/>
              </a:rPr>
              <a:t>(m)
</a:t>
            </a:r>
            <a:r>
              <a:rPr lang="en-US" cap="none" sz="900" b="0" i="0" u="none" baseline="0">
                <a:solidFill>
                  <a:srgbClr val="000000"/>
                </a:solidFill>
                <a:latin typeface="ＭＳ Ｐゴシック"/>
                <a:ea typeface="ＭＳ Ｐゴシック"/>
                <a:cs typeface="ＭＳ Ｐゴシック"/>
              </a:rPr>
              <a:t>低下後地下水位</a:t>
            </a:r>
            <a:r>
              <a:rPr lang="en-US" cap="none" sz="900" b="0" i="0" u="none" baseline="0">
                <a:solidFill>
                  <a:srgbClr val="000000"/>
                </a:solidFill>
                <a:latin typeface="ＭＳ Ｐゴシック"/>
                <a:ea typeface="ＭＳ Ｐゴシック"/>
                <a:cs typeface="ＭＳ Ｐゴシック"/>
              </a:rPr>
              <a:t>(m)</a:t>
            </a:r>
          </a:p>
        </xdr:txBody>
      </xdr:sp>
      <xdr:sp>
        <xdr:nvSpPr>
          <xdr:cNvPr id="6" name="Line 532"/>
          <xdr:cNvSpPr>
            <a:spLocks/>
          </xdr:cNvSpPr>
        </xdr:nvSpPr>
        <xdr:spPr>
          <a:xfrm>
            <a:off x="1228" y="147"/>
            <a:ext cx="37" cy="0"/>
          </a:xfrm>
          <a:prstGeom prst="line">
            <a:avLst/>
          </a:prstGeom>
          <a:noFill/>
          <a:ln w="25400" cmpd="sng">
            <a:solidFill>
              <a:srgbClr val="604A7B"/>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oneCellAnchor>
    <xdr:from>
      <xdr:col>13</xdr:col>
      <xdr:colOff>0</xdr:colOff>
      <xdr:row>6</xdr:row>
      <xdr:rowOff>76200</xdr:rowOff>
    </xdr:from>
    <xdr:ext cx="38100" cy="266700"/>
    <xdr:sp fLocksText="0">
      <xdr:nvSpPr>
        <xdr:cNvPr id="7" name="テキスト ボックス 19"/>
        <xdr:cNvSpPr txBox="1">
          <a:spLocks noChangeArrowheads="1"/>
        </xdr:cNvSpPr>
      </xdr:nvSpPr>
      <xdr:spPr>
        <a:xfrm>
          <a:off x="5648325" y="1238250"/>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6</xdr:row>
      <xdr:rowOff>76200</xdr:rowOff>
    </xdr:from>
    <xdr:ext cx="38100" cy="266700"/>
    <xdr:sp fLocksText="0">
      <xdr:nvSpPr>
        <xdr:cNvPr id="8" name="テキスト ボックス 20"/>
        <xdr:cNvSpPr txBox="1">
          <a:spLocks noChangeArrowheads="1"/>
        </xdr:cNvSpPr>
      </xdr:nvSpPr>
      <xdr:spPr>
        <a:xfrm>
          <a:off x="3409950" y="1238250"/>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6</xdr:row>
      <xdr:rowOff>76200</xdr:rowOff>
    </xdr:from>
    <xdr:ext cx="38100" cy="266700"/>
    <xdr:sp fLocksText="0">
      <xdr:nvSpPr>
        <xdr:cNvPr id="9" name="テキスト ボックス 21"/>
        <xdr:cNvSpPr txBox="1">
          <a:spLocks noChangeArrowheads="1"/>
        </xdr:cNvSpPr>
      </xdr:nvSpPr>
      <xdr:spPr>
        <a:xfrm>
          <a:off x="3409950" y="1238250"/>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17</xdr:col>
      <xdr:colOff>123825</xdr:colOff>
      <xdr:row>9</xdr:row>
      <xdr:rowOff>9525</xdr:rowOff>
    </xdr:from>
    <xdr:to>
      <xdr:col>20</xdr:col>
      <xdr:colOff>133350</xdr:colOff>
      <xdr:row>53</xdr:row>
      <xdr:rowOff>57150</xdr:rowOff>
    </xdr:to>
    <xdr:pic>
      <xdr:nvPicPr>
        <xdr:cNvPr id="10" name="図 37"/>
        <xdr:cNvPicPr preferRelativeResize="1">
          <a:picLocks noChangeAspect="1"/>
        </xdr:cNvPicPr>
      </xdr:nvPicPr>
      <xdr:blipFill>
        <a:blip r:embed="rId1"/>
        <a:stretch>
          <a:fillRect/>
        </a:stretch>
      </xdr:blipFill>
      <xdr:spPr>
        <a:xfrm>
          <a:off x="7562850" y="1685925"/>
          <a:ext cx="1704975" cy="7562850"/>
        </a:xfrm>
        <a:prstGeom prst="rect">
          <a:avLst/>
        </a:prstGeom>
        <a:noFill/>
        <a:ln w="9525" cmpd="sng">
          <a:noFill/>
        </a:ln>
      </xdr:spPr>
    </xdr:pic>
    <xdr:clientData/>
  </xdr:twoCellAnchor>
  <xdr:twoCellAnchor editAs="oneCell">
    <xdr:from>
      <xdr:col>20</xdr:col>
      <xdr:colOff>228600</xdr:colOff>
      <xdr:row>9</xdr:row>
      <xdr:rowOff>9525</xdr:rowOff>
    </xdr:from>
    <xdr:to>
      <xdr:col>23</xdr:col>
      <xdr:colOff>400050</xdr:colOff>
      <xdr:row>53</xdr:row>
      <xdr:rowOff>57150</xdr:rowOff>
    </xdr:to>
    <xdr:pic>
      <xdr:nvPicPr>
        <xdr:cNvPr id="11" name="図 38"/>
        <xdr:cNvPicPr preferRelativeResize="1">
          <a:picLocks noChangeAspect="1"/>
        </xdr:cNvPicPr>
      </xdr:nvPicPr>
      <xdr:blipFill>
        <a:blip r:embed="rId2"/>
        <a:stretch>
          <a:fillRect/>
        </a:stretch>
      </xdr:blipFill>
      <xdr:spPr>
        <a:xfrm>
          <a:off x="9363075" y="1685925"/>
          <a:ext cx="1704975" cy="7562850"/>
        </a:xfrm>
        <a:prstGeom prst="rect">
          <a:avLst/>
        </a:prstGeom>
        <a:noFill/>
        <a:ln w="9525" cmpd="sng">
          <a:noFill/>
        </a:ln>
      </xdr:spPr>
    </xdr:pic>
    <xdr:clientData/>
  </xdr:twoCellAnchor>
  <xdr:twoCellAnchor editAs="oneCell">
    <xdr:from>
      <xdr:col>23</xdr:col>
      <xdr:colOff>504825</xdr:colOff>
      <xdr:row>9</xdr:row>
      <xdr:rowOff>9525</xdr:rowOff>
    </xdr:from>
    <xdr:to>
      <xdr:col>26</xdr:col>
      <xdr:colOff>514350</xdr:colOff>
      <xdr:row>53</xdr:row>
      <xdr:rowOff>57150</xdr:rowOff>
    </xdr:to>
    <xdr:pic>
      <xdr:nvPicPr>
        <xdr:cNvPr id="12" name="図 40"/>
        <xdr:cNvPicPr preferRelativeResize="1">
          <a:picLocks noChangeAspect="1"/>
        </xdr:cNvPicPr>
      </xdr:nvPicPr>
      <xdr:blipFill>
        <a:blip r:embed="rId3"/>
        <a:stretch>
          <a:fillRect/>
        </a:stretch>
      </xdr:blipFill>
      <xdr:spPr>
        <a:xfrm>
          <a:off x="11172825" y="1685925"/>
          <a:ext cx="1704975" cy="7562850"/>
        </a:xfrm>
        <a:prstGeom prst="rect">
          <a:avLst/>
        </a:prstGeom>
        <a:noFill/>
        <a:ln w="9525" cmpd="sng">
          <a:noFill/>
        </a:ln>
      </xdr:spPr>
    </xdr:pic>
    <xdr:clientData/>
  </xdr:twoCellAnchor>
  <xdr:twoCellAnchor>
    <xdr:from>
      <xdr:col>5</xdr:col>
      <xdr:colOff>342900</xdr:colOff>
      <xdr:row>24</xdr:row>
      <xdr:rowOff>114300</xdr:rowOff>
    </xdr:from>
    <xdr:to>
      <xdr:col>15</xdr:col>
      <xdr:colOff>85725</xdr:colOff>
      <xdr:row>29</xdr:row>
      <xdr:rowOff>66675</xdr:rowOff>
    </xdr:to>
    <xdr:sp>
      <xdr:nvSpPr>
        <xdr:cNvPr id="13" name="角丸四角形 47"/>
        <xdr:cNvSpPr>
          <a:spLocks/>
        </xdr:cNvSpPr>
      </xdr:nvSpPr>
      <xdr:spPr>
        <a:xfrm>
          <a:off x="2400300" y="4324350"/>
          <a:ext cx="4229100" cy="809625"/>
        </a:xfrm>
        <a:prstGeom prst="round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200" b="0" i="0" u="none" baseline="0">
              <a:solidFill>
                <a:srgbClr val="000000"/>
              </a:solidFill>
            </a:rPr>
            <a:t>入力データと、これに基づいて行った計算結果を表とグラフで示します。入力項目はありません。</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25</xdr:col>
      <xdr:colOff>0</xdr:colOff>
      <xdr:row>5</xdr:row>
      <xdr:rowOff>76200</xdr:rowOff>
    </xdr:from>
    <xdr:ext cx="38100" cy="266700"/>
    <xdr:sp fLocksText="0">
      <xdr:nvSpPr>
        <xdr:cNvPr id="1" name="テキスト ボックス 1"/>
        <xdr:cNvSpPr txBox="1">
          <a:spLocks noChangeArrowheads="1"/>
        </xdr:cNvSpPr>
      </xdr:nvSpPr>
      <xdr:spPr>
        <a:xfrm>
          <a:off x="11058525"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19</xdr:col>
      <xdr:colOff>0</xdr:colOff>
      <xdr:row>5</xdr:row>
      <xdr:rowOff>76200</xdr:rowOff>
    </xdr:from>
    <xdr:ext cx="38100" cy="266700"/>
    <xdr:sp fLocksText="0">
      <xdr:nvSpPr>
        <xdr:cNvPr id="2" name="テキスト ボックス 2"/>
        <xdr:cNvSpPr txBox="1">
          <a:spLocks noChangeArrowheads="1"/>
        </xdr:cNvSpPr>
      </xdr:nvSpPr>
      <xdr:spPr>
        <a:xfrm>
          <a:off x="8486775"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8</xdr:col>
      <xdr:colOff>219075</xdr:colOff>
      <xdr:row>27</xdr:row>
      <xdr:rowOff>85725</xdr:rowOff>
    </xdr:from>
    <xdr:to>
      <xdr:col>17</xdr:col>
      <xdr:colOff>285750</xdr:colOff>
      <xdr:row>35</xdr:row>
      <xdr:rowOff>85725</xdr:rowOff>
    </xdr:to>
    <xdr:sp>
      <xdr:nvSpPr>
        <xdr:cNvPr id="3" name="角丸四角形 3"/>
        <xdr:cNvSpPr>
          <a:spLocks/>
        </xdr:cNvSpPr>
      </xdr:nvSpPr>
      <xdr:spPr>
        <a:xfrm>
          <a:off x="3657600" y="4695825"/>
          <a:ext cx="4257675" cy="1371600"/>
        </a:xfrm>
        <a:prstGeom prst="round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100" b="0" i="0" u="none" baseline="0">
              <a:solidFill>
                <a:srgbClr val="000000"/>
              </a:solidFill>
            </a:rPr>
            <a:t>入力データをもとに、液状化安全率や</a:t>
          </a:r>
          <a:r>
            <a:rPr lang="en-US" cap="none" sz="1100" b="0" i="0" u="none" baseline="0">
              <a:solidFill>
                <a:srgbClr val="000000"/>
              </a:solidFill>
              <a:latin typeface="Calibri"/>
              <a:ea typeface="Calibri"/>
              <a:cs typeface="Calibri"/>
            </a:rPr>
            <a:t>Dcy</a:t>
          </a:r>
          <a:r>
            <a:rPr lang="en-US" cap="none" sz="1100" b="0" i="0" u="none" baseline="0">
              <a:solidFill>
                <a:srgbClr val="000000"/>
              </a:solidFill>
            </a:rPr>
            <a:t>値などを計算するためのシートです。データの入力はできません。閲覧のみが可能です。</a:t>
          </a:r>
          <a:r>
            <a:rPr lang="en-US" cap="none" sz="1400" b="0" i="0" u="none" baseline="0">
              <a:solidFill>
                <a:srgbClr val="000000"/>
              </a:solidFill>
              <a:latin typeface="Calibri"/>
              <a:ea typeface="Calibri"/>
              <a:cs typeface="Calibri"/>
            </a:rPr>
            <a:t>
</a:t>
          </a:r>
          <a:r>
            <a:rPr lang="en-US" cap="none" sz="1100" b="0" i="0" u="none" baseline="0">
              <a:solidFill>
                <a:srgbClr val="000000"/>
              </a:solidFill>
            </a:rPr>
            <a:t>各値の意味は、本ブック末尾に付いている「理論シート」を参照してください。</a:t>
          </a:r>
        </a:p>
      </xdr:txBody>
    </xdr:sp>
    <xdr:clientData/>
  </xdr:twoCellAnchor>
  <xdr:twoCellAnchor>
    <xdr:from>
      <xdr:col>18</xdr:col>
      <xdr:colOff>104775</xdr:colOff>
      <xdr:row>46</xdr:row>
      <xdr:rowOff>57150</xdr:rowOff>
    </xdr:from>
    <xdr:to>
      <xdr:col>23</xdr:col>
      <xdr:colOff>390525</xdr:colOff>
      <xdr:row>51</xdr:row>
      <xdr:rowOff>38100</xdr:rowOff>
    </xdr:to>
    <xdr:sp>
      <xdr:nvSpPr>
        <xdr:cNvPr id="4" name="正方形/長方形 5"/>
        <xdr:cNvSpPr>
          <a:spLocks/>
        </xdr:cNvSpPr>
      </xdr:nvSpPr>
      <xdr:spPr>
        <a:xfrm>
          <a:off x="8162925" y="7924800"/>
          <a:ext cx="2428875" cy="838200"/>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100" b="0" i="0" u="none" baseline="0">
              <a:solidFill>
                <a:srgbClr val="000000"/>
              </a:solidFill>
            </a:rPr>
            <a:t>地下水位低下前後で、液状化抵抗比は一定であるとの考え方で計算しています。</a:t>
          </a:r>
        </a:p>
      </xdr:txBody>
    </xdr:sp>
    <xdr:clientData/>
  </xdr:twoCellAnchor>
  <xdr:twoCellAnchor>
    <xdr:from>
      <xdr:col>15</xdr:col>
      <xdr:colOff>276225</xdr:colOff>
      <xdr:row>41</xdr:row>
      <xdr:rowOff>95250</xdr:rowOff>
    </xdr:from>
    <xdr:to>
      <xdr:col>17</xdr:col>
      <xdr:colOff>180975</xdr:colOff>
      <xdr:row>48</xdr:row>
      <xdr:rowOff>123825</xdr:rowOff>
    </xdr:to>
    <xdr:sp>
      <xdr:nvSpPr>
        <xdr:cNvPr id="5" name="直線コネクタ 6"/>
        <xdr:cNvSpPr>
          <a:spLocks/>
        </xdr:cNvSpPr>
      </xdr:nvSpPr>
      <xdr:spPr>
        <a:xfrm flipH="1" flipV="1">
          <a:off x="7048500" y="7105650"/>
          <a:ext cx="762000" cy="1228725"/>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152400</xdr:colOff>
      <xdr:row>48</xdr:row>
      <xdr:rowOff>104775</xdr:rowOff>
    </xdr:from>
    <xdr:to>
      <xdr:col>17</xdr:col>
      <xdr:colOff>361950</xdr:colOff>
      <xdr:row>48</xdr:row>
      <xdr:rowOff>104775</xdr:rowOff>
    </xdr:to>
    <xdr:sp>
      <xdr:nvSpPr>
        <xdr:cNvPr id="6" name="直線コネクタ 7"/>
        <xdr:cNvSpPr>
          <a:spLocks/>
        </xdr:cNvSpPr>
      </xdr:nvSpPr>
      <xdr:spPr>
        <a:xfrm flipH="1">
          <a:off x="7781925" y="8315325"/>
          <a:ext cx="209550" cy="0"/>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247650</xdr:colOff>
      <xdr:row>5</xdr:row>
      <xdr:rowOff>180975</xdr:rowOff>
    </xdr:from>
    <xdr:ext cx="4105275" cy="295275"/>
    <xdr:sp fLocksText="0">
      <xdr:nvSpPr>
        <xdr:cNvPr id="1" name="テキスト ボックス 2"/>
        <xdr:cNvSpPr txBox="1">
          <a:spLocks noChangeArrowheads="1"/>
        </xdr:cNvSpPr>
      </xdr:nvSpPr>
      <xdr:spPr>
        <a:xfrm>
          <a:off x="3895725" y="1133475"/>
          <a:ext cx="410527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vmlDrawing" Target="../drawings/vmlDrawing5.vml" /><Relationship Id="rId5" Type="http://schemas.openxmlformats.org/officeDocument/2006/relationships/drawing" Target="../drawings/drawing9.xml" /><Relationship Id="rId6"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dimension ref="I5:P50"/>
  <sheetViews>
    <sheetView tabSelected="1" zoomScale="85" zoomScaleNormal="85" zoomScalePageLayoutView="0" workbookViewId="0" topLeftCell="A1">
      <selection activeCell="P12" sqref="P12"/>
    </sheetView>
  </sheetViews>
  <sheetFormatPr defaultColWidth="9.140625" defaultRowHeight="15"/>
  <sheetData>
    <row r="5" spans="9:16" ht="13.5" customHeight="1">
      <c r="I5" s="521" t="s">
        <v>191</v>
      </c>
      <c r="J5" s="522"/>
      <c r="K5" s="522"/>
      <c r="L5" s="522"/>
      <c r="M5" s="522"/>
      <c r="N5" s="522"/>
      <c r="O5" s="522"/>
      <c r="P5" s="522"/>
    </row>
    <row r="6" spans="9:16" ht="13.5" customHeight="1">
      <c r="I6" s="522"/>
      <c r="J6" s="522"/>
      <c r="K6" s="522"/>
      <c r="L6" s="522"/>
      <c r="M6" s="522"/>
      <c r="N6" s="522"/>
      <c r="O6" s="522"/>
      <c r="P6" s="522"/>
    </row>
    <row r="7" spans="9:16" ht="13.5" customHeight="1">
      <c r="I7" s="522"/>
      <c r="J7" s="522"/>
      <c r="K7" s="522"/>
      <c r="L7" s="522"/>
      <c r="M7" s="522"/>
      <c r="N7" s="522"/>
      <c r="O7" s="522"/>
      <c r="P7" s="522"/>
    </row>
    <row r="8" spans="9:16" ht="13.5" customHeight="1">
      <c r="I8" s="522"/>
      <c r="J8" s="522"/>
      <c r="K8" s="522"/>
      <c r="L8" s="522"/>
      <c r="M8" s="522"/>
      <c r="N8" s="522"/>
      <c r="O8" s="522"/>
      <c r="P8" s="522"/>
    </row>
    <row r="9" spans="9:16" ht="13.5" customHeight="1">
      <c r="I9" s="522"/>
      <c r="J9" s="522"/>
      <c r="K9" s="522"/>
      <c r="L9" s="522"/>
      <c r="M9" s="522"/>
      <c r="N9" s="522"/>
      <c r="O9" s="522"/>
      <c r="P9" s="522"/>
    </row>
    <row r="10" spans="9:16" ht="18.75" customHeight="1">
      <c r="I10" s="522"/>
      <c r="J10" s="522"/>
      <c r="K10" s="522"/>
      <c r="L10" s="522"/>
      <c r="M10" s="522"/>
      <c r="N10" s="522"/>
      <c r="O10" s="522"/>
      <c r="P10" s="522"/>
    </row>
    <row r="11" ht="13.5">
      <c r="P11" s="267">
        <v>2013.1</v>
      </c>
    </row>
    <row r="13" spans="9:16" ht="20.25" customHeight="1">
      <c r="I13" s="510" t="s">
        <v>148</v>
      </c>
      <c r="J13" s="510"/>
      <c r="K13" s="510"/>
      <c r="L13" s="510"/>
      <c r="M13" s="510"/>
      <c r="N13" s="510"/>
      <c r="O13" s="510"/>
      <c r="P13" s="510"/>
    </row>
    <row r="14" spans="9:16" ht="13.5" customHeight="1">
      <c r="I14" s="332"/>
      <c r="J14" s="332"/>
      <c r="K14" s="332"/>
      <c r="L14" s="332"/>
      <c r="M14" s="332"/>
      <c r="N14" s="332"/>
      <c r="O14" s="332"/>
      <c r="P14" s="332"/>
    </row>
    <row r="16" ht="14.25" thickBot="1"/>
    <row r="17" spans="9:16" ht="13.5" customHeight="1">
      <c r="I17" s="511" t="s">
        <v>192</v>
      </c>
      <c r="J17" s="512"/>
      <c r="K17" s="512"/>
      <c r="L17" s="512"/>
      <c r="M17" s="512"/>
      <c r="N17" s="512"/>
      <c r="O17" s="512"/>
      <c r="P17" s="513"/>
    </row>
    <row r="18" spans="9:16" ht="13.5">
      <c r="I18" s="514"/>
      <c r="J18" s="515"/>
      <c r="K18" s="515"/>
      <c r="L18" s="515"/>
      <c r="M18" s="515"/>
      <c r="N18" s="515"/>
      <c r="O18" s="515"/>
      <c r="P18" s="516"/>
    </row>
    <row r="19" spans="9:16" ht="13.5">
      <c r="I19" s="514"/>
      <c r="J19" s="515"/>
      <c r="K19" s="515"/>
      <c r="L19" s="515"/>
      <c r="M19" s="515"/>
      <c r="N19" s="515"/>
      <c r="O19" s="515"/>
      <c r="P19" s="516"/>
    </row>
    <row r="20" spans="9:16" ht="13.5">
      <c r="I20" s="514"/>
      <c r="J20" s="515"/>
      <c r="K20" s="515"/>
      <c r="L20" s="515"/>
      <c r="M20" s="515"/>
      <c r="N20" s="515"/>
      <c r="O20" s="515"/>
      <c r="P20" s="516"/>
    </row>
    <row r="21" spans="9:16" ht="13.5">
      <c r="I21" s="514"/>
      <c r="J21" s="515"/>
      <c r="K21" s="515"/>
      <c r="L21" s="515"/>
      <c r="M21" s="515"/>
      <c r="N21" s="515"/>
      <c r="O21" s="515"/>
      <c r="P21" s="516"/>
    </row>
    <row r="22" spans="9:16" ht="13.5">
      <c r="I22" s="514"/>
      <c r="J22" s="515"/>
      <c r="K22" s="515"/>
      <c r="L22" s="515"/>
      <c r="M22" s="515"/>
      <c r="N22" s="515"/>
      <c r="O22" s="515"/>
      <c r="P22" s="516"/>
    </row>
    <row r="23" spans="9:16" ht="13.5">
      <c r="I23" s="514"/>
      <c r="J23" s="515"/>
      <c r="K23" s="515"/>
      <c r="L23" s="515"/>
      <c r="M23" s="515"/>
      <c r="N23" s="515"/>
      <c r="O23" s="515"/>
      <c r="P23" s="516"/>
    </row>
    <row r="24" spans="9:16" ht="13.5">
      <c r="I24" s="514"/>
      <c r="J24" s="515"/>
      <c r="K24" s="515"/>
      <c r="L24" s="515"/>
      <c r="M24" s="515"/>
      <c r="N24" s="515"/>
      <c r="O24" s="515"/>
      <c r="P24" s="516"/>
    </row>
    <row r="25" spans="9:16" ht="13.5">
      <c r="I25" s="514"/>
      <c r="J25" s="515"/>
      <c r="K25" s="515"/>
      <c r="L25" s="515"/>
      <c r="M25" s="515"/>
      <c r="N25" s="515"/>
      <c r="O25" s="515"/>
      <c r="P25" s="516"/>
    </row>
    <row r="26" spans="9:16" ht="13.5">
      <c r="I26" s="514"/>
      <c r="J26" s="515"/>
      <c r="K26" s="515"/>
      <c r="L26" s="515"/>
      <c r="M26" s="515"/>
      <c r="N26" s="515"/>
      <c r="O26" s="515"/>
      <c r="P26" s="516"/>
    </row>
    <row r="27" spans="9:16" ht="13.5">
      <c r="I27" s="514"/>
      <c r="J27" s="515"/>
      <c r="K27" s="515"/>
      <c r="L27" s="515"/>
      <c r="M27" s="515"/>
      <c r="N27" s="515"/>
      <c r="O27" s="515"/>
      <c r="P27" s="516"/>
    </row>
    <row r="28" spans="9:16" ht="13.5">
      <c r="I28" s="514"/>
      <c r="J28" s="515"/>
      <c r="K28" s="515"/>
      <c r="L28" s="515"/>
      <c r="M28" s="515"/>
      <c r="N28" s="515"/>
      <c r="O28" s="515"/>
      <c r="P28" s="516"/>
    </row>
    <row r="29" spans="9:16" ht="13.5">
      <c r="I29" s="514"/>
      <c r="J29" s="515"/>
      <c r="K29" s="515"/>
      <c r="L29" s="515"/>
      <c r="M29" s="515"/>
      <c r="N29" s="515"/>
      <c r="O29" s="515"/>
      <c r="P29" s="516"/>
    </row>
    <row r="30" spans="9:16" ht="14.25" thickBot="1">
      <c r="I30" s="517"/>
      <c r="J30" s="518"/>
      <c r="K30" s="518"/>
      <c r="L30" s="518"/>
      <c r="M30" s="518"/>
      <c r="N30" s="518"/>
      <c r="O30" s="518"/>
      <c r="P30" s="519"/>
    </row>
    <row r="33" ht="14.25" thickBot="1"/>
    <row r="34" spans="9:16" ht="14.25" customHeight="1" thickBot="1">
      <c r="I34" s="523" t="s">
        <v>127</v>
      </c>
      <c r="J34" s="524"/>
      <c r="K34" s="524"/>
      <c r="L34" s="508" t="s">
        <v>130</v>
      </c>
      <c r="M34" s="509"/>
      <c r="N34" s="509"/>
      <c r="O34" s="509"/>
      <c r="P34" s="509"/>
    </row>
    <row r="35" spans="9:16" ht="14.25" thickBot="1">
      <c r="I35" s="523"/>
      <c r="J35" s="524"/>
      <c r="K35" s="524"/>
      <c r="L35" s="508"/>
      <c r="M35" s="509"/>
      <c r="N35" s="509"/>
      <c r="O35" s="509"/>
      <c r="P35" s="509"/>
    </row>
    <row r="36" spans="9:16" ht="14.25" thickBot="1">
      <c r="I36" s="523"/>
      <c r="J36" s="524"/>
      <c r="K36" s="524"/>
      <c r="L36" s="508"/>
      <c r="M36" s="509"/>
      <c r="N36" s="509"/>
      <c r="O36" s="509"/>
      <c r="P36" s="509"/>
    </row>
    <row r="37" spans="9:16" ht="14.25" thickBot="1">
      <c r="I37" s="523" t="s">
        <v>149</v>
      </c>
      <c r="J37" s="524"/>
      <c r="K37" s="524"/>
      <c r="L37" s="508" t="s">
        <v>131</v>
      </c>
      <c r="M37" s="509"/>
      <c r="N37" s="509"/>
      <c r="O37" s="509"/>
      <c r="P37" s="509"/>
    </row>
    <row r="38" spans="9:16" ht="14.25" thickBot="1">
      <c r="I38" s="523"/>
      <c r="J38" s="524"/>
      <c r="K38" s="524"/>
      <c r="L38" s="508"/>
      <c r="M38" s="509"/>
      <c r="N38" s="509"/>
      <c r="O38" s="509"/>
      <c r="P38" s="509"/>
    </row>
    <row r="39" spans="9:16" ht="14.25" thickBot="1">
      <c r="I39" s="523"/>
      <c r="J39" s="524"/>
      <c r="K39" s="524"/>
      <c r="L39" s="508"/>
      <c r="M39" s="509"/>
      <c r="N39" s="509"/>
      <c r="O39" s="509"/>
      <c r="P39" s="509"/>
    </row>
    <row r="40" spans="9:16" ht="14.25" thickBot="1">
      <c r="I40" s="525" t="s">
        <v>128</v>
      </c>
      <c r="J40" s="526"/>
      <c r="K40" s="526"/>
      <c r="L40" s="508" t="s">
        <v>133</v>
      </c>
      <c r="M40" s="509"/>
      <c r="N40" s="509"/>
      <c r="O40" s="509"/>
      <c r="P40" s="509"/>
    </row>
    <row r="41" spans="9:16" ht="14.25" thickBot="1">
      <c r="I41" s="525"/>
      <c r="J41" s="526"/>
      <c r="K41" s="526"/>
      <c r="L41" s="508"/>
      <c r="M41" s="509"/>
      <c r="N41" s="509"/>
      <c r="O41" s="509"/>
      <c r="P41" s="509"/>
    </row>
    <row r="42" spans="9:16" ht="14.25" thickBot="1">
      <c r="I42" s="525"/>
      <c r="J42" s="526"/>
      <c r="K42" s="526"/>
      <c r="L42" s="508"/>
      <c r="M42" s="509"/>
      <c r="N42" s="509"/>
      <c r="O42" s="509"/>
      <c r="P42" s="509"/>
    </row>
    <row r="43" spans="9:16" ht="14.25" thickBot="1">
      <c r="I43" s="525" t="s">
        <v>129</v>
      </c>
      <c r="J43" s="526"/>
      <c r="K43" s="526"/>
      <c r="L43" s="508" t="s">
        <v>132</v>
      </c>
      <c r="M43" s="509"/>
      <c r="N43" s="509"/>
      <c r="O43" s="509"/>
      <c r="P43" s="509"/>
    </row>
    <row r="44" spans="9:16" ht="14.25" thickBot="1">
      <c r="I44" s="525"/>
      <c r="J44" s="526"/>
      <c r="K44" s="526"/>
      <c r="L44" s="508"/>
      <c r="M44" s="509"/>
      <c r="N44" s="509"/>
      <c r="O44" s="509"/>
      <c r="P44" s="509"/>
    </row>
    <row r="45" spans="9:16" ht="14.25" thickBot="1">
      <c r="I45" s="525"/>
      <c r="J45" s="526"/>
      <c r="K45" s="526"/>
      <c r="L45" s="508"/>
      <c r="M45" s="509"/>
      <c r="N45" s="509"/>
      <c r="O45" s="509"/>
      <c r="P45" s="509"/>
    </row>
    <row r="48" spans="9:16" ht="14.25">
      <c r="I48" s="520" t="s">
        <v>161</v>
      </c>
      <c r="J48" s="520"/>
      <c r="K48" s="520"/>
      <c r="L48" s="520"/>
      <c r="M48" s="520"/>
      <c r="N48" s="520"/>
      <c r="O48" s="520"/>
      <c r="P48" s="520"/>
    </row>
    <row r="50" spans="12:16" ht="13.5">
      <c r="L50" s="268"/>
      <c r="M50" s="379" t="s">
        <v>134</v>
      </c>
      <c r="N50" s="269"/>
      <c r="O50" s="269"/>
      <c r="P50" s="269"/>
    </row>
  </sheetData>
  <sheetProtection password="CA83" sheet="1" objects="1" scenarios="1" selectLockedCells="1" selectUnlockedCells="1"/>
  <mergeCells count="12">
    <mergeCell ref="I5:P10"/>
    <mergeCell ref="I34:K36"/>
    <mergeCell ref="I37:K39"/>
    <mergeCell ref="I43:K45"/>
    <mergeCell ref="I40:K42"/>
    <mergeCell ref="L34:P36"/>
    <mergeCell ref="L37:P39"/>
    <mergeCell ref="L40:P42"/>
    <mergeCell ref="L43:P45"/>
    <mergeCell ref="I13:P13"/>
    <mergeCell ref="I17:P30"/>
    <mergeCell ref="I48:P48"/>
  </mergeCells>
  <printOptions/>
  <pageMargins left="0.7" right="0.7" top="0.75" bottom="0.75" header="0.3" footer="0.3"/>
  <pageSetup horizontalDpi="300" verticalDpi="300" orientation="landscape" paperSize="8"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A1:A1"/>
  <sheetViews>
    <sheetView zoomScale="85" zoomScaleNormal="85" zoomScalePageLayoutView="0" workbookViewId="0" topLeftCell="A1">
      <selection activeCell="L69" sqref="L69"/>
    </sheetView>
  </sheetViews>
  <sheetFormatPr defaultColWidth="9.140625" defaultRowHeight="15"/>
  <cols>
    <col min="3" max="3" width="9.00390625" style="0" customWidth="1"/>
  </cols>
  <sheetData/>
  <sheetProtection password="CA83" sheet="1" objects="1" scenarios="1" selectLockedCells="1" selectUnlockedCells="1"/>
  <printOptions/>
  <pageMargins left="0.7" right="0.7" top="0.75" bottom="0.75" header="0.3" footer="0.3"/>
  <pageSetup fitToHeight="1" fitToWidth="1" horizontalDpi="300" verticalDpi="300" orientation="landscape" paperSize="8" scale="66" r:id="rId6"/>
  <drawing r:id="rId5"/>
  <legacyDrawing r:id="rId4"/>
  <oleObjects>
    <oleObject progId="Word.Document.12" shapeId="51397642" r:id="rId1"/>
    <oleObject progId="Word.Document.12" shapeId="51424107" r:id="rId2"/>
    <oleObject progId="Word.Document.12" shapeId="51735941" r:id="rId3"/>
  </oleObjects>
</worksheet>
</file>

<file path=xl/worksheets/sheet2.xml><?xml version="1.0" encoding="utf-8"?>
<worksheet xmlns="http://schemas.openxmlformats.org/spreadsheetml/2006/main" xmlns:r="http://schemas.openxmlformats.org/officeDocument/2006/relationships">
  <sheetPr codeName="Sheet1"/>
  <dimension ref="A1:P59"/>
  <sheetViews>
    <sheetView zoomScale="70" zoomScaleNormal="70" zoomScalePageLayoutView="0" workbookViewId="0" topLeftCell="A1">
      <selection activeCell="A1" sqref="A1"/>
    </sheetView>
  </sheetViews>
  <sheetFormatPr defaultColWidth="9.140625" defaultRowHeight="15"/>
  <cols>
    <col min="1" max="1" width="3.421875" style="7" customWidth="1"/>
    <col min="2" max="2" width="6.28125" style="7" customWidth="1"/>
    <col min="3" max="4" width="7.140625" style="7" customWidth="1"/>
    <col min="5" max="5" width="7.140625" style="150" customWidth="1"/>
    <col min="6" max="6" width="7.140625" style="7" customWidth="1"/>
    <col min="7" max="7" width="7.140625" style="150" customWidth="1"/>
    <col min="8" max="8" width="7.421875" style="335" customWidth="1"/>
    <col min="9" max="9" width="7.8515625" style="7" customWidth="1"/>
    <col min="10" max="11" width="4.140625" style="7" customWidth="1"/>
    <col min="12" max="12" width="8.00390625" style="17" customWidth="1"/>
    <col min="13" max="14" width="9.00390625" style="7" customWidth="1"/>
    <col min="15" max="15" width="16.140625" style="7" customWidth="1"/>
    <col min="16" max="16384" width="9.00390625" style="7" customWidth="1"/>
  </cols>
  <sheetData>
    <row r="1" spans="2:10" ht="14.25" thickBot="1">
      <c r="B1" s="1"/>
      <c r="C1" s="1"/>
      <c r="D1" s="1"/>
      <c r="E1" s="149"/>
      <c r="F1" s="1"/>
      <c r="G1" s="149"/>
      <c r="H1" s="334"/>
      <c r="I1" s="1"/>
      <c r="J1" s="1"/>
    </row>
    <row r="2" spans="2:12" ht="14.25" customHeight="1" thickBot="1">
      <c r="B2" s="530" t="s">
        <v>30</v>
      </c>
      <c r="C2" s="530"/>
      <c r="D2" s="530"/>
      <c r="E2" s="530"/>
      <c r="F2" s="530"/>
      <c r="G2" s="530"/>
      <c r="H2" s="530"/>
      <c r="I2" s="530"/>
      <c r="J2" s="530"/>
      <c r="K2" s="530"/>
      <c r="L2" s="530"/>
    </row>
    <row r="3" spans="7:12" ht="14.25" thickBot="1">
      <c r="G3" s="485"/>
      <c r="H3" s="480"/>
      <c r="I3" s="481"/>
      <c r="J3" s="481"/>
      <c r="K3" s="481"/>
      <c r="L3" s="484"/>
    </row>
    <row r="4" spans="7:12" ht="13.5" customHeight="1" thickTop="1">
      <c r="G4" s="485"/>
      <c r="H4" s="555" t="s">
        <v>57</v>
      </c>
      <c r="I4" s="538" t="s">
        <v>55</v>
      </c>
      <c r="J4" s="538"/>
      <c r="K4" s="540" t="s">
        <v>56</v>
      </c>
      <c r="L4" s="541"/>
    </row>
    <row r="5" spans="2:12" ht="15" customHeight="1">
      <c r="B5" s="535" t="s">
        <v>33</v>
      </c>
      <c r="C5" s="535"/>
      <c r="D5" s="547" t="s">
        <v>151</v>
      </c>
      <c r="E5" s="548"/>
      <c r="F5" s="548"/>
      <c r="G5" s="478"/>
      <c r="H5" s="556"/>
      <c r="I5" s="539"/>
      <c r="J5" s="539"/>
      <c r="K5" s="542"/>
      <c r="L5" s="543"/>
    </row>
    <row r="6" spans="2:12" ht="15" customHeight="1" thickBot="1">
      <c r="B6" s="529" t="s">
        <v>32</v>
      </c>
      <c r="C6" s="529"/>
      <c r="D6" s="549" t="s">
        <v>44</v>
      </c>
      <c r="E6" s="549"/>
      <c r="F6" s="549"/>
      <c r="G6" s="478"/>
      <c r="H6" s="343">
        <v>1</v>
      </c>
      <c r="I6" s="534">
        <v>200</v>
      </c>
      <c r="J6" s="534"/>
      <c r="K6" s="532">
        <v>9</v>
      </c>
      <c r="L6" s="533"/>
    </row>
    <row r="7" spans="2:12" ht="15" customHeight="1" thickTop="1">
      <c r="B7" s="552" t="s">
        <v>200</v>
      </c>
      <c r="C7" s="553"/>
      <c r="D7" s="554">
        <v>1</v>
      </c>
      <c r="E7" s="554"/>
      <c r="F7" s="502" t="s">
        <v>11</v>
      </c>
      <c r="G7" s="478"/>
      <c r="H7" s="343">
        <v>2</v>
      </c>
      <c r="I7" s="534">
        <v>350</v>
      </c>
      <c r="J7" s="534"/>
      <c r="K7" s="532">
        <v>7.5</v>
      </c>
      <c r="L7" s="533"/>
    </row>
    <row r="8" spans="2:12" ht="15" customHeight="1" thickBot="1">
      <c r="B8" s="536" t="s">
        <v>31</v>
      </c>
      <c r="C8" s="537"/>
      <c r="D8" s="557">
        <v>3</v>
      </c>
      <c r="E8" s="557"/>
      <c r="F8" s="503" t="s">
        <v>11</v>
      </c>
      <c r="G8" s="344"/>
      <c r="H8" s="345">
        <v>3</v>
      </c>
      <c r="I8" s="531">
        <v>160</v>
      </c>
      <c r="J8" s="531"/>
      <c r="K8" s="527">
        <v>9</v>
      </c>
      <c r="L8" s="528"/>
    </row>
    <row r="9" spans="2:8" s="481" customFormat="1" ht="12" customHeight="1" thickTop="1">
      <c r="B9" s="476"/>
      <c r="C9" s="476"/>
      <c r="D9" s="477"/>
      <c r="E9" s="478"/>
      <c r="F9" s="479"/>
      <c r="G9" s="344"/>
      <c r="H9" s="480"/>
    </row>
    <row r="10" spans="2:12" s="481" customFormat="1" ht="12" customHeight="1">
      <c r="B10" s="476"/>
      <c r="C10" s="476"/>
      <c r="D10" s="482"/>
      <c r="E10" s="346"/>
      <c r="F10" s="483"/>
      <c r="G10" s="344"/>
      <c r="H10" s="347"/>
      <c r="I10" s="348" t="s">
        <v>147</v>
      </c>
      <c r="J10" s="349"/>
      <c r="L10" s="484"/>
    </row>
    <row r="11" spans="2:12" s="481" customFormat="1" ht="12" customHeight="1" thickBot="1">
      <c r="B11" s="476"/>
      <c r="C11" s="476"/>
      <c r="D11" s="477"/>
      <c r="E11" s="478"/>
      <c r="F11" s="479"/>
      <c r="G11" s="344"/>
      <c r="H11" s="350"/>
      <c r="I11" s="349"/>
      <c r="J11" s="349"/>
      <c r="L11" s="484"/>
    </row>
    <row r="12" spans="2:12" s="481" customFormat="1" ht="13.5" customHeight="1">
      <c r="B12" s="58"/>
      <c r="C12" s="544" t="s">
        <v>4</v>
      </c>
      <c r="D12" s="60"/>
      <c r="E12" s="152"/>
      <c r="F12" s="96"/>
      <c r="G12" s="157"/>
      <c r="H12" s="336"/>
      <c r="I12" s="144"/>
      <c r="J12" s="147"/>
      <c r="L12" s="126"/>
    </row>
    <row r="13" spans="2:12" s="481" customFormat="1" ht="12" customHeight="1">
      <c r="B13" s="551" t="s">
        <v>0</v>
      </c>
      <c r="C13" s="545"/>
      <c r="D13" s="65" t="s">
        <v>5</v>
      </c>
      <c r="E13" s="153"/>
      <c r="F13" s="66" t="s">
        <v>35</v>
      </c>
      <c r="G13" s="158"/>
      <c r="H13" s="337" t="s">
        <v>58</v>
      </c>
      <c r="I13" s="145" t="s">
        <v>28</v>
      </c>
      <c r="J13" s="148"/>
      <c r="L13" s="333" t="s">
        <v>79</v>
      </c>
    </row>
    <row r="14" spans="2:12" s="481" customFormat="1" ht="12" customHeight="1">
      <c r="B14" s="551"/>
      <c r="C14" s="545"/>
      <c r="D14" s="65" t="s">
        <v>6</v>
      </c>
      <c r="E14" s="153" t="s">
        <v>13</v>
      </c>
      <c r="F14" s="66" t="s">
        <v>36</v>
      </c>
      <c r="G14" s="158" t="s">
        <v>14</v>
      </c>
      <c r="H14" s="337" t="s">
        <v>59</v>
      </c>
      <c r="I14" s="145" t="s">
        <v>82</v>
      </c>
      <c r="J14" s="148"/>
      <c r="L14" s="127" t="s">
        <v>78</v>
      </c>
    </row>
    <row r="15" spans="2:12" s="481" customFormat="1" ht="13.5">
      <c r="B15" s="78" t="s">
        <v>2</v>
      </c>
      <c r="C15" s="546"/>
      <c r="D15" s="79" t="s">
        <v>10</v>
      </c>
      <c r="E15" s="154"/>
      <c r="F15" s="80" t="s">
        <v>37</v>
      </c>
      <c r="G15" s="159" t="s">
        <v>38</v>
      </c>
      <c r="H15" s="338" t="s">
        <v>60</v>
      </c>
      <c r="I15" s="146" t="s">
        <v>29</v>
      </c>
      <c r="J15" s="148"/>
      <c r="L15" s="128"/>
    </row>
    <row r="16" spans="1:15" ht="13.5">
      <c r="A16" s="481"/>
      <c r="B16" s="117">
        <v>0.5</v>
      </c>
      <c r="C16" s="492" t="s">
        <v>97</v>
      </c>
      <c r="D16" s="213">
        <v>66</v>
      </c>
      <c r="E16" s="493">
        <v>2</v>
      </c>
      <c r="F16" s="212">
        <v>15.68</v>
      </c>
      <c r="G16" s="493">
        <v>100</v>
      </c>
      <c r="H16" s="494"/>
      <c r="I16" s="274">
        <f aca="true" t="shared" si="0" ref="I16:I55">IF($G16="","",IF($G16&lt;100,"有",""))</f>
      </c>
      <c r="J16" s="487"/>
      <c r="K16" s="481"/>
      <c r="L16" s="129">
        <f>IF(AND(D16&lt;&gt;"",B16&gt;$D$8),(IF(D16&lt;=50,"○","")),"")</f>
      </c>
      <c r="O16" s="18"/>
    </row>
    <row r="17" spans="1:15" ht="13.5">
      <c r="A17" s="481"/>
      <c r="B17" s="117">
        <v>1</v>
      </c>
      <c r="C17" s="492" t="s">
        <v>97</v>
      </c>
      <c r="D17" s="213">
        <v>66</v>
      </c>
      <c r="E17" s="493">
        <v>2</v>
      </c>
      <c r="F17" s="212">
        <v>15.68</v>
      </c>
      <c r="G17" s="493">
        <v>100</v>
      </c>
      <c r="H17" s="494"/>
      <c r="I17" s="274">
        <f t="shared" si="0"/>
      </c>
      <c r="J17" s="487"/>
      <c r="K17" s="481"/>
      <c r="L17" s="129">
        <f aca="true" t="shared" si="1" ref="L17:L55">IF(AND(D17&lt;&gt;"",B17&gt;$D$8),(IF(D17&lt;=50,"○","")),"")</f>
      </c>
      <c r="O17" s="18"/>
    </row>
    <row r="18" spans="1:16" ht="13.5">
      <c r="A18" s="481"/>
      <c r="B18" s="117">
        <v>1.5</v>
      </c>
      <c r="C18" s="492" t="s">
        <v>96</v>
      </c>
      <c r="D18" s="213">
        <v>21</v>
      </c>
      <c r="E18" s="493">
        <v>4</v>
      </c>
      <c r="F18" s="212">
        <v>15.68</v>
      </c>
      <c r="G18" s="493">
        <v>100</v>
      </c>
      <c r="H18" s="494"/>
      <c r="I18" s="275">
        <f t="shared" si="0"/>
      </c>
      <c r="J18" s="488"/>
      <c r="K18" s="481"/>
      <c r="L18" s="130">
        <f t="shared" si="1"/>
      </c>
      <c r="O18" s="133"/>
      <c r="P18" s="133"/>
    </row>
    <row r="19" spans="1:15" ht="13.5">
      <c r="A19" s="481"/>
      <c r="B19" s="117">
        <v>2</v>
      </c>
      <c r="C19" s="492" t="s">
        <v>96</v>
      </c>
      <c r="D19" s="213">
        <v>21</v>
      </c>
      <c r="E19" s="493">
        <v>5</v>
      </c>
      <c r="F19" s="212">
        <v>15.68</v>
      </c>
      <c r="G19" s="493">
        <v>100</v>
      </c>
      <c r="H19" s="494"/>
      <c r="I19" s="275">
        <f t="shared" si="0"/>
      </c>
      <c r="J19" s="488"/>
      <c r="K19" s="481"/>
      <c r="L19" s="129">
        <f t="shared" si="1"/>
      </c>
      <c r="M19" s="16"/>
      <c r="O19" s="18"/>
    </row>
    <row r="20" spans="1:15" ht="13.5">
      <c r="A20" s="481"/>
      <c r="B20" s="117">
        <v>2.5</v>
      </c>
      <c r="C20" s="492" t="s">
        <v>96</v>
      </c>
      <c r="D20" s="213">
        <v>21</v>
      </c>
      <c r="E20" s="493">
        <v>5</v>
      </c>
      <c r="F20" s="212">
        <v>15.97</v>
      </c>
      <c r="G20" s="493">
        <v>100</v>
      </c>
      <c r="H20" s="494"/>
      <c r="I20" s="274">
        <f t="shared" si="0"/>
      </c>
      <c r="J20" s="487"/>
      <c r="K20" s="481"/>
      <c r="L20" s="129">
        <f t="shared" si="1"/>
      </c>
      <c r="M20" s="16"/>
      <c r="N20" s="16"/>
      <c r="O20" s="18"/>
    </row>
    <row r="21" spans="1:15" ht="13.5">
      <c r="A21" s="481"/>
      <c r="B21" s="117">
        <v>3</v>
      </c>
      <c r="C21" s="492" t="s">
        <v>96</v>
      </c>
      <c r="D21" s="213">
        <v>21</v>
      </c>
      <c r="E21" s="493">
        <v>5</v>
      </c>
      <c r="F21" s="212">
        <v>15.97</v>
      </c>
      <c r="G21" s="493">
        <v>100</v>
      </c>
      <c r="H21" s="494"/>
      <c r="I21" s="274">
        <f t="shared" si="0"/>
      </c>
      <c r="J21" s="487"/>
      <c r="K21" s="481"/>
      <c r="L21" s="129">
        <f t="shared" si="1"/>
      </c>
      <c r="O21" s="18"/>
    </row>
    <row r="22" spans="1:15" ht="13.5">
      <c r="A22" s="481"/>
      <c r="B22" s="117">
        <v>3.5</v>
      </c>
      <c r="C22" s="492" t="s">
        <v>96</v>
      </c>
      <c r="D22" s="213">
        <v>21</v>
      </c>
      <c r="E22" s="493">
        <v>5</v>
      </c>
      <c r="F22" s="212">
        <v>15.97</v>
      </c>
      <c r="G22" s="493">
        <v>95</v>
      </c>
      <c r="H22" s="494"/>
      <c r="I22" s="274" t="str">
        <f t="shared" si="0"/>
        <v>有</v>
      </c>
      <c r="J22" s="487"/>
      <c r="K22" s="481"/>
      <c r="L22" s="129" t="str">
        <f t="shared" si="1"/>
        <v>○</v>
      </c>
      <c r="O22" s="18"/>
    </row>
    <row r="23" spans="1:12" ht="13.5">
      <c r="A23" s="481"/>
      <c r="B23" s="117">
        <v>4</v>
      </c>
      <c r="C23" s="492" t="s">
        <v>96</v>
      </c>
      <c r="D23" s="213">
        <v>21</v>
      </c>
      <c r="E23" s="493">
        <v>5</v>
      </c>
      <c r="F23" s="212">
        <v>15.97</v>
      </c>
      <c r="G23" s="493">
        <v>95</v>
      </c>
      <c r="H23" s="494"/>
      <c r="I23" s="274" t="str">
        <f t="shared" si="0"/>
        <v>有</v>
      </c>
      <c r="J23" s="487"/>
      <c r="K23" s="481"/>
      <c r="L23" s="129" t="str">
        <f t="shared" si="1"/>
        <v>○</v>
      </c>
    </row>
    <row r="24" spans="1:15" ht="13.5">
      <c r="A24" s="481"/>
      <c r="B24" s="117">
        <v>4.5</v>
      </c>
      <c r="C24" s="492" t="s">
        <v>96</v>
      </c>
      <c r="D24" s="213">
        <v>21</v>
      </c>
      <c r="E24" s="493">
        <v>6</v>
      </c>
      <c r="F24" s="212">
        <v>15.97</v>
      </c>
      <c r="G24" s="493">
        <v>100</v>
      </c>
      <c r="H24" s="494"/>
      <c r="I24" s="274">
        <f t="shared" si="0"/>
      </c>
      <c r="J24" s="487"/>
      <c r="K24" s="481"/>
      <c r="L24" s="129" t="str">
        <f t="shared" si="1"/>
        <v>○</v>
      </c>
      <c r="O24" s="18"/>
    </row>
    <row r="25" spans="1:15" ht="13.5">
      <c r="A25" s="481"/>
      <c r="B25" s="373">
        <v>5</v>
      </c>
      <c r="C25" s="495" t="s">
        <v>96</v>
      </c>
      <c r="D25" s="496">
        <v>21</v>
      </c>
      <c r="E25" s="497">
        <v>6</v>
      </c>
      <c r="F25" s="498">
        <v>15.97</v>
      </c>
      <c r="G25" s="497">
        <v>100</v>
      </c>
      <c r="H25" s="499"/>
      <c r="I25" s="276">
        <f t="shared" si="0"/>
      </c>
      <c r="J25" s="487"/>
      <c r="K25" s="481"/>
      <c r="L25" s="129" t="str">
        <f t="shared" si="1"/>
        <v>○</v>
      </c>
      <c r="O25" s="18"/>
    </row>
    <row r="26" spans="1:15" ht="13.5">
      <c r="A26" s="481"/>
      <c r="B26" s="117">
        <v>5.5</v>
      </c>
      <c r="C26" s="492" t="s">
        <v>96</v>
      </c>
      <c r="D26" s="213">
        <v>21</v>
      </c>
      <c r="E26" s="493">
        <v>6</v>
      </c>
      <c r="F26" s="212">
        <v>15.97</v>
      </c>
      <c r="G26" s="493">
        <v>100</v>
      </c>
      <c r="H26" s="494"/>
      <c r="I26" s="274">
        <f t="shared" si="0"/>
      </c>
      <c r="J26" s="487"/>
      <c r="K26" s="481"/>
      <c r="L26" s="129" t="str">
        <f t="shared" si="1"/>
        <v>○</v>
      </c>
      <c r="O26" s="18"/>
    </row>
    <row r="27" spans="1:15" ht="13.5">
      <c r="A27" s="481"/>
      <c r="B27" s="117">
        <v>6</v>
      </c>
      <c r="C27" s="492" t="s">
        <v>96</v>
      </c>
      <c r="D27" s="213">
        <v>21</v>
      </c>
      <c r="E27" s="493">
        <v>6</v>
      </c>
      <c r="F27" s="212">
        <v>15.97</v>
      </c>
      <c r="G27" s="493">
        <v>100</v>
      </c>
      <c r="H27" s="494"/>
      <c r="I27" s="277">
        <f t="shared" si="0"/>
      </c>
      <c r="J27" s="487"/>
      <c r="K27" s="481"/>
      <c r="L27" s="129" t="str">
        <f t="shared" si="1"/>
        <v>○</v>
      </c>
      <c r="O27" s="18"/>
    </row>
    <row r="28" spans="1:15" ht="13.5">
      <c r="A28" s="481"/>
      <c r="B28" s="117">
        <v>6.5</v>
      </c>
      <c r="C28" s="492" t="s">
        <v>96</v>
      </c>
      <c r="D28" s="213">
        <v>21</v>
      </c>
      <c r="E28" s="493">
        <v>7</v>
      </c>
      <c r="F28" s="212">
        <v>16.37</v>
      </c>
      <c r="G28" s="493">
        <v>100</v>
      </c>
      <c r="H28" s="494"/>
      <c r="I28" s="277">
        <f t="shared" si="0"/>
      </c>
      <c r="J28" s="487"/>
      <c r="K28" s="481"/>
      <c r="L28" s="129" t="str">
        <f t="shared" si="1"/>
        <v>○</v>
      </c>
      <c r="O28" s="18"/>
    </row>
    <row r="29" spans="1:15" ht="13.5">
      <c r="A29" s="481"/>
      <c r="B29" s="117">
        <v>7</v>
      </c>
      <c r="C29" s="492" t="s">
        <v>96</v>
      </c>
      <c r="D29" s="213">
        <v>21</v>
      </c>
      <c r="E29" s="493">
        <v>7</v>
      </c>
      <c r="F29" s="212">
        <v>16.37</v>
      </c>
      <c r="G29" s="493">
        <v>100</v>
      </c>
      <c r="H29" s="494"/>
      <c r="I29" s="277">
        <f t="shared" si="0"/>
      </c>
      <c r="J29" s="487"/>
      <c r="K29" s="481"/>
      <c r="L29" s="129" t="str">
        <f t="shared" si="1"/>
        <v>○</v>
      </c>
      <c r="O29" s="18"/>
    </row>
    <row r="30" spans="1:15" ht="13.5">
      <c r="A30" s="481"/>
      <c r="B30" s="117">
        <v>7.5</v>
      </c>
      <c r="C30" s="492" t="s">
        <v>96</v>
      </c>
      <c r="D30" s="213">
        <v>21</v>
      </c>
      <c r="E30" s="493">
        <v>7</v>
      </c>
      <c r="F30" s="212">
        <v>16.37</v>
      </c>
      <c r="G30" s="493">
        <v>100</v>
      </c>
      <c r="H30" s="494"/>
      <c r="I30" s="274">
        <f t="shared" si="0"/>
      </c>
      <c r="J30" s="487"/>
      <c r="K30" s="481"/>
      <c r="L30" s="129" t="str">
        <f t="shared" si="1"/>
        <v>○</v>
      </c>
      <c r="O30" s="18"/>
    </row>
    <row r="31" spans="1:15" ht="13.5">
      <c r="A31" s="481"/>
      <c r="B31" s="117">
        <v>8</v>
      </c>
      <c r="C31" s="492" t="s">
        <v>96</v>
      </c>
      <c r="D31" s="213">
        <v>21</v>
      </c>
      <c r="E31" s="493">
        <v>7</v>
      </c>
      <c r="F31" s="212">
        <v>16.37</v>
      </c>
      <c r="G31" s="493">
        <v>100</v>
      </c>
      <c r="H31" s="494"/>
      <c r="I31" s="274">
        <f t="shared" si="0"/>
      </c>
      <c r="J31" s="487"/>
      <c r="K31" s="481"/>
      <c r="L31" s="129" t="str">
        <f t="shared" si="1"/>
        <v>○</v>
      </c>
      <c r="O31" s="18"/>
    </row>
    <row r="32" spans="1:15" ht="13.5">
      <c r="A32" s="481"/>
      <c r="B32" s="117">
        <v>8.5</v>
      </c>
      <c r="C32" s="492" t="s">
        <v>96</v>
      </c>
      <c r="D32" s="213">
        <v>21</v>
      </c>
      <c r="E32" s="493">
        <v>7</v>
      </c>
      <c r="F32" s="212">
        <v>16.37</v>
      </c>
      <c r="G32" s="493">
        <v>100</v>
      </c>
      <c r="H32" s="494"/>
      <c r="I32" s="274">
        <f t="shared" si="0"/>
      </c>
      <c r="J32" s="487"/>
      <c r="K32" s="481"/>
      <c r="L32" s="129" t="str">
        <f t="shared" si="1"/>
        <v>○</v>
      </c>
      <c r="O32" s="18"/>
    </row>
    <row r="33" spans="1:15" ht="13.5">
      <c r="A33" s="481"/>
      <c r="B33" s="117">
        <v>9</v>
      </c>
      <c r="C33" s="492" t="s">
        <v>96</v>
      </c>
      <c r="D33" s="213">
        <v>21</v>
      </c>
      <c r="E33" s="493">
        <v>7</v>
      </c>
      <c r="F33" s="212">
        <v>16.37</v>
      </c>
      <c r="G33" s="493">
        <v>100</v>
      </c>
      <c r="H33" s="494"/>
      <c r="I33" s="274">
        <f t="shared" si="0"/>
      </c>
      <c r="J33" s="487"/>
      <c r="K33" s="481"/>
      <c r="L33" s="129" t="str">
        <f t="shared" si="1"/>
        <v>○</v>
      </c>
      <c r="O33" s="18"/>
    </row>
    <row r="34" spans="1:12" ht="13.5">
      <c r="A34" s="481"/>
      <c r="B34" s="117">
        <v>9.5</v>
      </c>
      <c r="C34" s="492" t="s">
        <v>156</v>
      </c>
      <c r="D34" s="213">
        <v>45</v>
      </c>
      <c r="E34" s="493">
        <v>2</v>
      </c>
      <c r="F34" s="212">
        <v>16.76</v>
      </c>
      <c r="G34" s="493">
        <v>100</v>
      </c>
      <c r="H34" s="494"/>
      <c r="I34" s="274">
        <f t="shared" si="0"/>
      </c>
      <c r="J34" s="487"/>
      <c r="K34" s="481"/>
      <c r="L34" s="129" t="str">
        <f t="shared" si="1"/>
        <v>○</v>
      </c>
    </row>
    <row r="35" spans="1:12" ht="13.5">
      <c r="A35" s="481"/>
      <c r="B35" s="373">
        <v>10</v>
      </c>
      <c r="C35" s="495" t="s">
        <v>156</v>
      </c>
      <c r="D35" s="496">
        <v>45</v>
      </c>
      <c r="E35" s="497">
        <v>2</v>
      </c>
      <c r="F35" s="498">
        <v>16.76</v>
      </c>
      <c r="G35" s="497">
        <v>100</v>
      </c>
      <c r="H35" s="499"/>
      <c r="I35" s="276">
        <f t="shared" si="0"/>
      </c>
      <c r="J35" s="487"/>
      <c r="K35" s="481"/>
      <c r="L35" s="129" t="str">
        <f t="shared" si="1"/>
        <v>○</v>
      </c>
    </row>
    <row r="36" spans="1:12" ht="13.5">
      <c r="A36" s="481"/>
      <c r="B36" s="117">
        <v>10.5</v>
      </c>
      <c r="C36" s="492" t="s">
        <v>156</v>
      </c>
      <c r="D36" s="213">
        <v>45</v>
      </c>
      <c r="E36" s="493">
        <v>2</v>
      </c>
      <c r="F36" s="212">
        <v>16.76</v>
      </c>
      <c r="G36" s="493">
        <v>100</v>
      </c>
      <c r="H36" s="494"/>
      <c r="I36" s="274">
        <f t="shared" si="0"/>
      </c>
      <c r="J36" s="487"/>
      <c r="K36" s="481"/>
      <c r="L36" s="129" t="str">
        <f t="shared" si="1"/>
        <v>○</v>
      </c>
    </row>
    <row r="37" spans="1:12" ht="13.5">
      <c r="A37" s="481"/>
      <c r="B37" s="117">
        <v>11</v>
      </c>
      <c r="C37" s="492" t="s">
        <v>156</v>
      </c>
      <c r="D37" s="213">
        <v>45</v>
      </c>
      <c r="E37" s="493">
        <v>2</v>
      </c>
      <c r="F37" s="212">
        <v>16.76</v>
      </c>
      <c r="G37" s="493">
        <v>100</v>
      </c>
      <c r="H37" s="494"/>
      <c r="I37" s="274">
        <f t="shared" si="0"/>
      </c>
      <c r="J37" s="487"/>
      <c r="K37" s="481"/>
      <c r="L37" s="129" t="str">
        <f t="shared" si="1"/>
        <v>○</v>
      </c>
    </row>
    <row r="38" spans="1:12" ht="13.5">
      <c r="A38" s="481"/>
      <c r="B38" s="117">
        <v>11.5</v>
      </c>
      <c r="C38" s="492" t="s">
        <v>96</v>
      </c>
      <c r="D38" s="213">
        <v>6</v>
      </c>
      <c r="E38" s="493">
        <v>22</v>
      </c>
      <c r="F38" s="212">
        <v>16.46</v>
      </c>
      <c r="G38" s="493">
        <v>100</v>
      </c>
      <c r="H38" s="494"/>
      <c r="I38" s="274">
        <f t="shared" si="0"/>
      </c>
      <c r="J38" s="487"/>
      <c r="K38" s="481"/>
      <c r="L38" s="129" t="str">
        <f t="shared" si="1"/>
        <v>○</v>
      </c>
    </row>
    <row r="39" spans="1:12" ht="13.5">
      <c r="A39" s="481"/>
      <c r="B39" s="117">
        <v>12</v>
      </c>
      <c r="C39" s="492" t="s">
        <v>96</v>
      </c>
      <c r="D39" s="213">
        <v>6</v>
      </c>
      <c r="E39" s="493">
        <v>22</v>
      </c>
      <c r="F39" s="212">
        <v>16.46</v>
      </c>
      <c r="G39" s="493">
        <v>100</v>
      </c>
      <c r="H39" s="494"/>
      <c r="I39" s="274">
        <f t="shared" si="0"/>
      </c>
      <c r="J39" s="487"/>
      <c r="K39" s="481"/>
      <c r="L39" s="129" t="str">
        <f t="shared" si="1"/>
        <v>○</v>
      </c>
    </row>
    <row r="40" spans="1:12" ht="13.5">
      <c r="A40" s="481"/>
      <c r="B40" s="117">
        <v>12.5</v>
      </c>
      <c r="C40" s="492" t="s">
        <v>96</v>
      </c>
      <c r="D40" s="213">
        <v>6</v>
      </c>
      <c r="E40" s="493">
        <v>22</v>
      </c>
      <c r="F40" s="212">
        <v>16.46</v>
      </c>
      <c r="G40" s="493">
        <v>100</v>
      </c>
      <c r="H40" s="494"/>
      <c r="I40" s="274">
        <f t="shared" si="0"/>
      </c>
      <c r="J40" s="487"/>
      <c r="K40" s="481"/>
      <c r="L40" s="129" t="str">
        <f t="shared" si="1"/>
        <v>○</v>
      </c>
    </row>
    <row r="41" spans="1:12" ht="13.5">
      <c r="A41" s="481"/>
      <c r="B41" s="117">
        <v>13</v>
      </c>
      <c r="C41" s="492" t="s">
        <v>96</v>
      </c>
      <c r="D41" s="213">
        <v>6</v>
      </c>
      <c r="E41" s="493">
        <v>22</v>
      </c>
      <c r="F41" s="212">
        <v>16.46</v>
      </c>
      <c r="G41" s="493">
        <v>100</v>
      </c>
      <c r="H41" s="494"/>
      <c r="I41" s="274">
        <f t="shared" si="0"/>
      </c>
      <c r="J41" s="487"/>
      <c r="K41" s="481"/>
      <c r="L41" s="129" t="str">
        <f t="shared" si="1"/>
        <v>○</v>
      </c>
    </row>
    <row r="42" spans="1:12" ht="13.5">
      <c r="A42" s="481"/>
      <c r="B42" s="117">
        <v>13.5</v>
      </c>
      <c r="C42" s="492" t="s">
        <v>96</v>
      </c>
      <c r="D42" s="213">
        <v>6</v>
      </c>
      <c r="E42" s="493">
        <v>22</v>
      </c>
      <c r="F42" s="212">
        <v>16.46</v>
      </c>
      <c r="G42" s="493">
        <v>100</v>
      </c>
      <c r="H42" s="494"/>
      <c r="I42" s="274">
        <f t="shared" si="0"/>
      </c>
      <c r="J42" s="487"/>
      <c r="K42" s="481"/>
      <c r="L42" s="129" t="str">
        <f t="shared" si="1"/>
        <v>○</v>
      </c>
    </row>
    <row r="43" spans="1:12" ht="13.5">
      <c r="A43" s="481"/>
      <c r="B43" s="117">
        <v>14</v>
      </c>
      <c r="C43" s="492" t="s">
        <v>96</v>
      </c>
      <c r="D43" s="213">
        <v>6</v>
      </c>
      <c r="E43" s="493">
        <v>22</v>
      </c>
      <c r="F43" s="212">
        <v>16.46</v>
      </c>
      <c r="G43" s="493">
        <v>100</v>
      </c>
      <c r="H43" s="494"/>
      <c r="I43" s="274">
        <f t="shared" si="0"/>
      </c>
      <c r="J43" s="487"/>
      <c r="K43" s="481"/>
      <c r="L43" s="129" t="str">
        <f t="shared" si="1"/>
        <v>○</v>
      </c>
    </row>
    <row r="44" spans="1:12" ht="13.5">
      <c r="A44" s="481"/>
      <c r="B44" s="117">
        <v>14.5</v>
      </c>
      <c r="C44" s="492" t="s">
        <v>96</v>
      </c>
      <c r="D44" s="213">
        <v>6</v>
      </c>
      <c r="E44" s="493">
        <v>43</v>
      </c>
      <c r="F44" s="212">
        <v>16.86</v>
      </c>
      <c r="G44" s="493">
        <v>100</v>
      </c>
      <c r="H44" s="494"/>
      <c r="I44" s="274">
        <f t="shared" si="0"/>
      </c>
      <c r="J44" s="487"/>
      <c r="K44" s="481"/>
      <c r="L44" s="129" t="str">
        <f t="shared" si="1"/>
        <v>○</v>
      </c>
    </row>
    <row r="45" spans="1:12" ht="13.5">
      <c r="A45" s="481"/>
      <c r="B45" s="373">
        <v>15</v>
      </c>
      <c r="C45" s="495" t="s">
        <v>96</v>
      </c>
      <c r="D45" s="496">
        <v>6</v>
      </c>
      <c r="E45" s="497">
        <v>43</v>
      </c>
      <c r="F45" s="498">
        <v>16.86</v>
      </c>
      <c r="G45" s="497">
        <v>100</v>
      </c>
      <c r="H45" s="499"/>
      <c r="I45" s="276">
        <f t="shared" si="0"/>
      </c>
      <c r="J45" s="487"/>
      <c r="K45" s="481"/>
      <c r="L45" s="129" t="str">
        <f t="shared" si="1"/>
        <v>○</v>
      </c>
    </row>
    <row r="46" spans="1:12" ht="13.5">
      <c r="A46" s="481"/>
      <c r="B46" s="117">
        <v>15.5</v>
      </c>
      <c r="C46" s="492" t="s">
        <v>96</v>
      </c>
      <c r="D46" s="213">
        <v>6</v>
      </c>
      <c r="E46" s="493">
        <v>43</v>
      </c>
      <c r="F46" s="212">
        <v>16.86</v>
      </c>
      <c r="G46" s="493">
        <v>100</v>
      </c>
      <c r="H46" s="494"/>
      <c r="I46" s="274">
        <f t="shared" si="0"/>
      </c>
      <c r="J46" s="487"/>
      <c r="K46" s="481"/>
      <c r="L46" s="129" t="str">
        <f t="shared" si="1"/>
        <v>○</v>
      </c>
    </row>
    <row r="47" spans="1:12" ht="13.5">
      <c r="A47" s="481"/>
      <c r="B47" s="117">
        <v>16</v>
      </c>
      <c r="C47" s="492" t="s">
        <v>96</v>
      </c>
      <c r="D47" s="213">
        <v>6</v>
      </c>
      <c r="E47" s="493">
        <v>43</v>
      </c>
      <c r="F47" s="212">
        <v>16.86</v>
      </c>
      <c r="G47" s="493">
        <v>100</v>
      </c>
      <c r="H47" s="494"/>
      <c r="I47" s="274">
        <f t="shared" si="0"/>
      </c>
      <c r="J47" s="487"/>
      <c r="K47" s="481"/>
      <c r="L47" s="129" t="str">
        <f t="shared" si="1"/>
        <v>○</v>
      </c>
    </row>
    <row r="48" spans="1:12" ht="13.5">
      <c r="A48" s="481"/>
      <c r="B48" s="117">
        <v>16.5</v>
      </c>
      <c r="C48" s="492" t="s">
        <v>96</v>
      </c>
      <c r="D48" s="213">
        <v>6</v>
      </c>
      <c r="E48" s="493">
        <v>43</v>
      </c>
      <c r="F48" s="212">
        <v>16.86</v>
      </c>
      <c r="G48" s="493">
        <v>100</v>
      </c>
      <c r="H48" s="494"/>
      <c r="I48" s="274">
        <f t="shared" si="0"/>
      </c>
      <c r="J48" s="487"/>
      <c r="K48" s="481"/>
      <c r="L48" s="129" t="str">
        <f t="shared" si="1"/>
        <v>○</v>
      </c>
    </row>
    <row r="49" spans="1:12" ht="13.5">
      <c r="A49" s="481"/>
      <c r="B49" s="117">
        <v>17</v>
      </c>
      <c r="C49" s="492" t="s">
        <v>96</v>
      </c>
      <c r="D49" s="213">
        <v>6</v>
      </c>
      <c r="E49" s="493">
        <v>43</v>
      </c>
      <c r="F49" s="212">
        <v>16.86</v>
      </c>
      <c r="G49" s="493">
        <v>100</v>
      </c>
      <c r="H49" s="494"/>
      <c r="I49" s="274">
        <f t="shared" si="0"/>
      </c>
      <c r="J49" s="487"/>
      <c r="K49" s="481"/>
      <c r="L49" s="129" t="str">
        <f t="shared" si="1"/>
        <v>○</v>
      </c>
    </row>
    <row r="50" spans="1:12" ht="13.5">
      <c r="A50" s="481"/>
      <c r="B50" s="117">
        <v>17.5</v>
      </c>
      <c r="C50" s="136"/>
      <c r="D50" s="134"/>
      <c r="E50" s="155"/>
      <c r="F50" s="135"/>
      <c r="G50" s="155"/>
      <c r="H50" s="339"/>
      <c r="I50" s="274">
        <f t="shared" si="0"/>
      </c>
      <c r="J50" s="487"/>
      <c r="K50" s="481"/>
      <c r="L50" s="129">
        <f t="shared" si="1"/>
      </c>
    </row>
    <row r="51" spans="1:12" ht="13.5">
      <c r="A51" s="481"/>
      <c r="B51" s="117">
        <v>18</v>
      </c>
      <c r="C51" s="136"/>
      <c r="D51" s="134"/>
      <c r="E51" s="155"/>
      <c r="F51" s="135"/>
      <c r="G51" s="155"/>
      <c r="H51" s="339"/>
      <c r="I51" s="274">
        <f t="shared" si="0"/>
      </c>
      <c r="J51" s="487"/>
      <c r="K51" s="481"/>
      <c r="L51" s="129">
        <f t="shared" si="1"/>
      </c>
    </row>
    <row r="52" spans="1:12" ht="13.5">
      <c r="A52" s="481"/>
      <c r="B52" s="117">
        <v>18.5</v>
      </c>
      <c r="C52" s="136"/>
      <c r="D52" s="134"/>
      <c r="E52" s="155"/>
      <c r="F52" s="135"/>
      <c r="G52" s="155"/>
      <c r="H52" s="339"/>
      <c r="I52" s="274">
        <f t="shared" si="0"/>
      </c>
      <c r="J52" s="487"/>
      <c r="K52" s="481"/>
      <c r="L52" s="129">
        <f t="shared" si="1"/>
      </c>
    </row>
    <row r="53" spans="1:12" ht="13.5">
      <c r="A53" s="481"/>
      <c r="B53" s="117">
        <v>19</v>
      </c>
      <c r="C53" s="136"/>
      <c r="D53" s="134"/>
      <c r="E53" s="155"/>
      <c r="F53" s="135"/>
      <c r="G53" s="155"/>
      <c r="H53" s="339"/>
      <c r="I53" s="274">
        <f t="shared" si="0"/>
      </c>
      <c r="J53" s="487"/>
      <c r="K53" s="481"/>
      <c r="L53" s="129">
        <f t="shared" si="1"/>
      </c>
    </row>
    <row r="54" spans="1:12" ht="13.5">
      <c r="A54" s="481"/>
      <c r="B54" s="117">
        <v>19.5</v>
      </c>
      <c r="C54" s="136"/>
      <c r="D54" s="134"/>
      <c r="E54" s="155"/>
      <c r="F54" s="135"/>
      <c r="G54" s="155"/>
      <c r="H54" s="339"/>
      <c r="I54" s="274">
        <f t="shared" si="0"/>
      </c>
      <c r="J54" s="487"/>
      <c r="K54" s="481"/>
      <c r="L54" s="129">
        <f t="shared" si="1"/>
      </c>
    </row>
    <row r="55" spans="1:12" ht="14.25" thickBot="1">
      <c r="A55" s="481"/>
      <c r="B55" s="374">
        <v>20</v>
      </c>
      <c r="C55" s="137"/>
      <c r="D55" s="138"/>
      <c r="E55" s="156"/>
      <c r="F55" s="139"/>
      <c r="G55" s="156"/>
      <c r="H55" s="340"/>
      <c r="I55" s="278">
        <f t="shared" si="0"/>
      </c>
      <c r="J55" s="487"/>
      <c r="K55" s="481"/>
      <c r="L55" s="131">
        <f t="shared" si="1"/>
      </c>
    </row>
    <row r="56" spans="1:12" ht="13.5">
      <c r="A56" s="481"/>
      <c r="B56" s="486"/>
      <c r="C56" s="1"/>
      <c r="D56" s="1"/>
      <c r="E56" s="149"/>
      <c r="F56" s="1"/>
      <c r="G56" s="149"/>
      <c r="H56" s="334"/>
      <c r="I56" s="486"/>
      <c r="J56" s="489"/>
      <c r="K56" s="481"/>
      <c r="L56" s="484"/>
    </row>
    <row r="57" spans="2:12" s="481" customFormat="1" ht="14.25" thickBot="1">
      <c r="B57" s="351"/>
      <c r="C57" s="351"/>
      <c r="D57" s="351"/>
      <c r="E57" s="352"/>
      <c r="F57" s="351"/>
      <c r="G57" s="352"/>
      <c r="H57" s="353"/>
      <c r="I57" s="351"/>
      <c r="J57" s="351"/>
      <c r="K57" s="351"/>
      <c r="L57" s="354"/>
    </row>
    <row r="58" spans="2:12" s="481" customFormat="1" ht="13.5">
      <c r="B58" s="486"/>
      <c r="C58" s="486"/>
      <c r="D58" s="486"/>
      <c r="E58" s="490"/>
      <c r="F58" s="486"/>
      <c r="G58" s="490"/>
      <c r="H58" s="491"/>
      <c r="I58" s="486"/>
      <c r="J58" s="486"/>
      <c r="L58" s="484"/>
    </row>
    <row r="59" spans="2:12" s="481" customFormat="1" ht="13.5">
      <c r="B59" s="550">
        <v>1</v>
      </c>
      <c r="C59" s="550"/>
      <c r="D59" s="550"/>
      <c r="E59" s="550"/>
      <c r="F59" s="550"/>
      <c r="G59" s="550"/>
      <c r="H59" s="550"/>
      <c r="I59" s="550"/>
      <c r="J59" s="550"/>
      <c r="K59" s="550"/>
      <c r="L59" s="550"/>
    </row>
  </sheetData>
  <sheetProtection password="CA83" sheet="1" selectLockedCells="1"/>
  <protectedRanges>
    <protectedRange sqref="I6:L8" name="範囲3"/>
    <protectedRange sqref="D5:F8" name="範囲2"/>
    <protectedRange sqref="C16:H55" name="範囲1"/>
  </protectedRanges>
  <mergeCells count="21">
    <mergeCell ref="K7:L7"/>
    <mergeCell ref="K4:L5"/>
    <mergeCell ref="C12:C15"/>
    <mergeCell ref="D5:F5"/>
    <mergeCell ref="D6:F6"/>
    <mergeCell ref="B59:L59"/>
    <mergeCell ref="B13:B14"/>
    <mergeCell ref="B7:C7"/>
    <mergeCell ref="D7:E7"/>
    <mergeCell ref="H4:H5"/>
    <mergeCell ref="D8:E8"/>
    <mergeCell ref="K8:L8"/>
    <mergeCell ref="B6:C6"/>
    <mergeCell ref="B2:L2"/>
    <mergeCell ref="I8:J8"/>
    <mergeCell ref="K6:L6"/>
    <mergeCell ref="I6:J6"/>
    <mergeCell ref="B5:C5"/>
    <mergeCell ref="B8:C8"/>
    <mergeCell ref="I4:J5"/>
    <mergeCell ref="I7:J7"/>
  </mergeCells>
  <conditionalFormatting sqref="L16:L55">
    <cfRule type="expression" priority="1" dxfId="0" stopIfTrue="1">
      <formula>$D$8&lt;$B16</formula>
    </cfRule>
  </conditionalFormatting>
  <dataValidations count="3">
    <dataValidation type="list" allowBlank="1" showInputMessage="1" showErrorMessage="1" sqref="C16:C55">
      <formula1>"表土,砂質土,粘性土,礫質土"</formula1>
    </dataValidation>
    <dataValidation type="decimal" operator="greaterThanOrEqual" allowBlank="1" showInputMessage="1" showErrorMessage="1" sqref="D8:E8">
      <formula1>D7</formula1>
    </dataValidation>
    <dataValidation type="decimal" operator="greaterThanOrEqual" allowBlank="1" showInputMessage="1" showErrorMessage="1" sqref="D7:E7">
      <formula1>0</formula1>
    </dataValidation>
  </dataValidations>
  <printOptions horizontalCentered="1"/>
  <pageMargins left="0.7086614173228347" right="0.7086614173228347" top="0.9448818897637796" bottom="0.7480314960629921" header="0.31496062992125984" footer="0.31496062992125984"/>
  <pageSetup horizontalDpi="600" verticalDpi="600" orientation="landscape" paperSize="8" r:id="rId2"/>
  <drawing r:id="rId1"/>
</worksheet>
</file>

<file path=xl/worksheets/sheet3.xml><?xml version="1.0" encoding="utf-8"?>
<worksheet xmlns="http://schemas.openxmlformats.org/spreadsheetml/2006/main" xmlns:r="http://schemas.openxmlformats.org/officeDocument/2006/relationships">
  <sheetPr codeName="Sheet4"/>
  <dimension ref="B1:AC58"/>
  <sheetViews>
    <sheetView zoomScale="85" zoomScaleNormal="85" zoomScalePageLayoutView="0" workbookViewId="0" topLeftCell="A1">
      <selection activeCell="A1" sqref="A1"/>
    </sheetView>
  </sheetViews>
  <sheetFormatPr defaultColWidth="9.140625" defaultRowHeight="15"/>
  <cols>
    <col min="1" max="1" width="3.421875" style="183" customWidth="1"/>
    <col min="2" max="2" width="7.28125" style="183" customWidth="1"/>
    <col min="3" max="8" width="7.140625" style="183" customWidth="1"/>
    <col min="9" max="9" width="8.57421875" style="189" customWidth="1"/>
    <col min="10" max="12" width="9.00390625" style="183" customWidth="1"/>
    <col min="13" max="13" width="7.421875" style="186" customWidth="1"/>
    <col min="14" max="14" width="8.140625" style="186" customWidth="1"/>
    <col min="15" max="25" width="7.421875" style="186" customWidth="1"/>
    <col min="26" max="27" width="8.28125" style="187" customWidth="1"/>
    <col min="28" max="16384" width="9.00390625" style="183" customWidth="1"/>
  </cols>
  <sheetData>
    <row r="1" spans="2:9" ht="14.25" thickBot="1">
      <c r="B1" s="184"/>
      <c r="C1" s="184"/>
      <c r="D1" s="184"/>
      <c r="E1" s="184"/>
      <c r="F1" s="184"/>
      <c r="G1" s="184"/>
      <c r="H1" s="184"/>
      <c r="I1" s="185"/>
    </row>
    <row r="2" spans="2:27" ht="14.25" customHeight="1" thickBot="1">
      <c r="B2" s="588" t="s">
        <v>91</v>
      </c>
      <c r="C2" s="588"/>
      <c r="D2" s="588"/>
      <c r="E2" s="588"/>
      <c r="F2" s="588"/>
      <c r="G2" s="588"/>
      <c r="H2" s="588"/>
      <c r="I2" s="588"/>
      <c r="J2" s="588"/>
      <c r="K2" s="588"/>
      <c r="L2" s="588"/>
      <c r="M2" s="588"/>
      <c r="N2" s="588"/>
      <c r="O2" s="588"/>
      <c r="P2" s="588"/>
      <c r="Q2" s="588"/>
      <c r="R2" s="588"/>
      <c r="S2" s="588"/>
      <c r="T2" s="588"/>
      <c r="U2" s="588"/>
      <c r="V2" s="588"/>
      <c r="W2" s="588"/>
      <c r="X2" s="588"/>
      <c r="Z2" s="580" t="s">
        <v>90</v>
      </c>
      <c r="AA2" s="580"/>
    </row>
    <row r="3" spans="9:27" ht="14.25">
      <c r="I3" s="9"/>
      <c r="Z3" s="367"/>
      <c r="AA3" s="367"/>
    </row>
    <row r="4" spans="2:29" ht="14.25" customHeight="1" thickBot="1">
      <c r="B4" s="575" t="str">
        <f>'地盤状態入力'!B5</f>
        <v>調査地点ID</v>
      </c>
      <c r="C4" s="575"/>
      <c r="D4" s="584" t="str">
        <f>'地盤状態入力'!D5</f>
        <v>○○地区</v>
      </c>
      <c r="E4" s="584"/>
      <c r="F4" s="584"/>
      <c r="G4" s="188"/>
      <c r="H4" s="188"/>
      <c r="Z4" s="367"/>
      <c r="AA4" s="367"/>
      <c r="AC4" s="187"/>
    </row>
    <row r="5" spans="2:29" ht="14.25" customHeight="1" thickBot="1" thickTop="1">
      <c r="B5" s="585" t="str">
        <f>'地盤状態入力'!B6</f>
        <v>項目名</v>
      </c>
      <c r="C5" s="585"/>
      <c r="D5" s="576" t="str">
        <f>'地盤状態入力'!D6</f>
        <v>メモ等</v>
      </c>
      <c r="E5" s="576"/>
      <c r="F5" s="576"/>
      <c r="G5" s="188"/>
      <c r="H5" s="188"/>
      <c r="I5" s="190"/>
      <c r="J5" s="581" t="s">
        <v>98</v>
      </c>
      <c r="K5" s="582"/>
      <c r="L5" s="583"/>
      <c r="Z5" s="367"/>
      <c r="AA5" s="367"/>
      <c r="AC5" s="187"/>
    </row>
    <row r="6" spans="2:29" ht="14.25" customHeight="1" thickBot="1" thickTop="1">
      <c r="B6" s="552" t="str">
        <f>'地盤状態入力'!B7</f>
        <v>現状地下水位</v>
      </c>
      <c r="C6" s="586"/>
      <c r="D6" s="587">
        <f>'地盤状態入力'!D7</f>
        <v>1</v>
      </c>
      <c r="E6" s="587"/>
      <c r="F6" s="370" t="s">
        <v>99</v>
      </c>
      <c r="G6" s="188"/>
      <c r="H6" s="188"/>
      <c r="J6" s="310" t="s">
        <v>160</v>
      </c>
      <c r="K6" s="302">
        <f>SUM($L15:$L54)</f>
        <v>3.2073059597337013</v>
      </c>
      <c r="L6" s="303" t="s">
        <v>102</v>
      </c>
      <c r="Z6" s="367"/>
      <c r="AA6" s="367"/>
      <c r="AC6" s="187"/>
    </row>
    <row r="7" spans="2:29" ht="15" customHeight="1" thickBot="1" thickTop="1">
      <c r="B7" s="572" t="str">
        <f>'地盤状態入力'!B8</f>
        <v>低下後地下水位</v>
      </c>
      <c r="C7" s="573"/>
      <c r="D7" s="574">
        <f>'地盤状態入力'!D8</f>
        <v>3</v>
      </c>
      <c r="E7" s="574"/>
      <c r="F7" s="371" t="s">
        <v>103</v>
      </c>
      <c r="G7" s="14"/>
      <c r="H7" s="14"/>
      <c r="J7" s="358" t="s">
        <v>100</v>
      </c>
      <c r="K7" s="312">
        <f>SUM($K15:$K54)</f>
        <v>8.40072206148625</v>
      </c>
      <c r="L7" s="313" t="s">
        <v>102</v>
      </c>
      <c r="Z7" s="367"/>
      <c r="AA7" s="367"/>
      <c r="AC7" s="187"/>
    </row>
    <row r="8" spans="2:29" ht="12" customHeight="1" thickTop="1">
      <c r="B8" s="571" t="s">
        <v>64</v>
      </c>
      <c r="C8" s="571"/>
      <c r="D8" s="575">
        <f>D7-D6</f>
        <v>2</v>
      </c>
      <c r="E8" s="575"/>
      <c r="F8" s="372" t="s">
        <v>103</v>
      </c>
      <c r="G8" s="14"/>
      <c r="H8" s="14"/>
      <c r="I8" s="197"/>
      <c r="Z8" s="367"/>
      <c r="AA8" s="367"/>
      <c r="AC8" s="187"/>
    </row>
    <row r="9" spans="2:27" ht="12" customHeight="1">
      <c r="B9" s="198"/>
      <c r="C9" s="198"/>
      <c r="D9" s="188"/>
      <c r="E9" s="188"/>
      <c r="F9" s="199"/>
      <c r="G9" s="14"/>
      <c r="H9" s="14"/>
      <c r="I9" s="197"/>
      <c r="J9" s="268"/>
      <c r="K9" s="269" t="s">
        <v>147</v>
      </c>
      <c r="L9" s="14"/>
      <c r="M9" s="7"/>
      <c r="N9" s="17"/>
      <c r="Z9" s="367"/>
      <c r="AA9" s="367"/>
    </row>
    <row r="10" spans="2:27" ht="12" customHeight="1" thickBot="1">
      <c r="B10" s="200"/>
      <c r="C10" s="200"/>
      <c r="D10" s="188"/>
      <c r="E10" s="188"/>
      <c r="F10" s="201"/>
      <c r="G10" s="14"/>
      <c r="H10" s="14"/>
      <c r="I10" s="197"/>
      <c r="Z10" s="367"/>
      <c r="AA10" s="367"/>
    </row>
    <row r="11" spans="2:27" ht="13.5" customHeight="1">
      <c r="B11" s="568" t="s">
        <v>63</v>
      </c>
      <c r="C11" s="577" t="s">
        <v>4</v>
      </c>
      <c r="D11" s="60"/>
      <c r="E11" s="60"/>
      <c r="F11" s="60"/>
      <c r="G11" s="60"/>
      <c r="H11" s="60"/>
      <c r="I11" s="60" t="s">
        <v>34</v>
      </c>
      <c r="J11" s="60" t="s">
        <v>34</v>
      </c>
      <c r="K11" s="202"/>
      <c r="L11" s="97" t="s">
        <v>160</v>
      </c>
      <c r="M11" s="183"/>
      <c r="N11" s="559" t="s">
        <v>120</v>
      </c>
      <c r="O11" s="560"/>
      <c r="P11" s="560"/>
      <c r="Q11" s="560"/>
      <c r="R11" s="560"/>
      <c r="S11" s="560"/>
      <c r="T11" s="560"/>
      <c r="U11" s="560"/>
      <c r="V11" s="560"/>
      <c r="W11" s="560"/>
      <c r="X11" s="561"/>
      <c r="Y11" s="183"/>
      <c r="Z11" s="104" t="s">
        <v>47</v>
      </c>
      <c r="AA11" s="140" t="s">
        <v>88</v>
      </c>
    </row>
    <row r="12" spans="2:27" ht="12" customHeight="1">
      <c r="B12" s="569"/>
      <c r="C12" s="578"/>
      <c r="D12" s="65"/>
      <c r="E12" s="66" t="s">
        <v>35</v>
      </c>
      <c r="F12" s="65" t="s">
        <v>40</v>
      </c>
      <c r="G12" s="65"/>
      <c r="H12" s="65" t="s">
        <v>104</v>
      </c>
      <c r="I12" s="65" t="s">
        <v>105</v>
      </c>
      <c r="J12" s="65" t="s">
        <v>106</v>
      </c>
      <c r="K12" s="203" t="s">
        <v>107</v>
      </c>
      <c r="L12" s="98" t="s">
        <v>108</v>
      </c>
      <c r="M12" s="183"/>
      <c r="N12" s="562"/>
      <c r="O12" s="563"/>
      <c r="P12" s="563"/>
      <c r="Q12" s="563"/>
      <c r="R12" s="563"/>
      <c r="S12" s="563"/>
      <c r="T12" s="563"/>
      <c r="U12" s="563"/>
      <c r="V12" s="563"/>
      <c r="W12" s="563"/>
      <c r="X12" s="564"/>
      <c r="Y12" s="183"/>
      <c r="Z12" s="105" t="s">
        <v>70</v>
      </c>
      <c r="AA12" s="141" t="s">
        <v>70</v>
      </c>
    </row>
    <row r="13" spans="2:27" ht="12" customHeight="1">
      <c r="B13" s="569"/>
      <c r="C13" s="578"/>
      <c r="D13" s="65" t="s">
        <v>39</v>
      </c>
      <c r="E13" s="66" t="s">
        <v>36</v>
      </c>
      <c r="F13" s="65" t="s">
        <v>41</v>
      </c>
      <c r="G13" s="65" t="s">
        <v>42</v>
      </c>
      <c r="H13" s="65" t="s">
        <v>109</v>
      </c>
      <c r="I13" s="65" t="s">
        <v>9</v>
      </c>
      <c r="J13" s="65" t="s">
        <v>9</v>
      </c>
      <c r="K13" s="203" t="s">
        <v>98</v>
      </c>
      <c r="L13" s="98" t="s">
        <v>98</v>
      </c>
      <c r="M13" s="183"/>
      <c r="N13" s="359" t="s">
        <v>121</v>
      </c>
      <c r="O13" s="565">
        <v>1</v>
      </c>
      <c r="P13" s="566"/>
      <c r="Q13" s="565">
        <v>2</v>
      </c>
      <c r="R13" s="566"/>
      <c r="S13" s="565">
        <v>3</v>
      </c>
      <c r="T13" s="566"/>
      <c r="U13" s="565">
        <v>4</v>
      </c>
      <c r="V13" s="566"/>
      <c r="W13" s="565">
        <v>5</v>
      </c>
      <c r="X13" s="567"/>
      <c r="Y13" s="183"/>
      <c r="Z13" s="106" t="s">
        <v>8</v>
      </c>
      <c r="AA13" s="142" t="s">
        <v>8</v>
      </c>
    </row>
    <row r="14" spans="2:27" ht="13.5">
      <c r="B14" s="570"/>
      <c r="C14" s="579"/>
      <c r="D14" s="79" t="s">
        <v>110</v>
      </c>
      <c r="E14" s="80" t="s">
        <v>111</v>
      </c>
      <c r="F14" s="79" t="s">
        <v>112</v>
      </c>
      <c r="G14" s="79" t="s">
        <v>113</v>
      </c>
      <c r="H14" s="79"/>
      <c r="I14" s="82" t="s">
        <v>114</v>
      </c>
      <c r="J14" s="82" t="s">
        <v>3</v>
      </c>
      <c r="K14" s="207" t="s">
        <v>140</v>
      </c>
      <c r="L14" s="99" t="s">
        <v>141</v>
      </c>
      <c r="M14" s="183"/>
      <c r="N14" s="360"/>
      <c r="O14" s="361" t="s">
        <v>152</v>
      </c>
      <c r="P14" s="362" t="s">
        <v>122</v>
      </c>
      <c r="Q14" s="361" t="s">
        <v>152</v>
      </c>
      <c r="R14" s="362" t="s">
        <v>122</v>
      </c>
      <c r="S14" s="361" t="s">
        <v>153</v>
      </c>
      <c r="T14" s="362" t="s">
        <v>122</v>
      </c>
      <c r="U14" s="361" t="s">
        <v>154</v>
      </c>
      <c r="V14" s="362" t="s">
        <v>122</v>
      </c>
      <c r="W14" s="361" t="s">
        <v>155</v>
      </c>
      <c r="X14" s="363" t="s">
        <v>122</v>
      </c>
      <c r="Y14" s="183"/>
      <c r="Z14" s="107" t="s">
        <v>115</v>
      </c>
      <c r="AA14" s="143" t="s">
        <v>116</v>
      </c>
    </row>
    <row r="15" spans="2:27" ht="13.5">
      <c r="B15" s="429">
        <v>2</v>
      </c>
      <c r="C15" s="212" t="s">
        <v>117</v>
      </c>
      <c r="D15" s="356">
        <f>IF(B15="","",B15)</f>
        <v>2</v>
      </c>
      <c r="E15" s="213">
        <v>16</v>
      </c>
      <c r="F15" s="213">
        <v>0.69</v>
      </c>
      <c r="G15" s="212">
        <v>0</v>
      </c>
      <c r="H15" s="307"/>
      <c r="I15" s="214">
        <f aca="true" t="shared" si="0" ref="I15:I54">IF($D15="","",$Z15-0.5*$D15*$E15-9.8*MAX($B15-0.5*$D15-$D$6,0))</f>
        <v>16</v>
      </c>
      <c r="J15" s="214">
        <f aca="true" t="shared" si="1" ref="J15:J54">IF($D15="","",$AA15-9.8*MAX($B15-0.5*$D15-$D$7,0))</f>
        <v>16</v>
      </c>
      <c r="K15" s="215">
        <f aca="true" t="shared" si="2" ref="K15:K22">IF($B15="","",IF($B15&lt;=$D$7,0,IF(ISNUMBER($G15),$G15*$D15/(1+$F15)*LOG($J15/$I15)*100,0)))</f>
        <v>0</v>
      </c>
      <c r="L15" s="216">
        <f>IF($B15="","",IF(ISNUMBER($H15)=FALSE,0,$D15*CalcElogP_Tbl($I15,$J15,$H15,$O$13:$X$13,$O$15:$X$24)*100))</f>
        <v>0</v>
      </c>
      <c r="M15" s="183"/>
      <c r="N15" s="364">
        <v>1</v>
      </c>
      <c r="O15" s="209">
        <v>0</v>
      </c>
      <c r="P15" s="210">
        <v>1.528</v>
      </c>
      <c r="Q15" s="209">
        <v>0</v>
      </c>
      <c r="R15" s="210">
        <v>1.528</v>
      </c>
      <c r="S15" s="209"/>
      <c r="T15" s="210"/>
      <c r="U15" s="209"/>
      <c r="V15" s="210"/>
      <c r="W15" s="209"/>
      <c r="X15" s="211"/>
      <c r="Y15" s="183"/>
      <c r="Z15" s="221">
        <f>IF($B15="","",$B15*$E15)</f>
        <v>32</v>
      </c>
      <c r="AA15" s="222">
        <f aca="true" t="shared" si="3" ref="AA15:AA54">IF($B15="","",$Z15-0.5*$D15*$E15)</f>
        <v>16</v>
      </c>
    </row>
    <row r="16" spans="2:27" ht="13.5">
      <c r="B16" s="429">
        <v>4</v>
      </c>
      <c r="C16" s="212" t="s">
        <v>96</v>
      </c>
      <c r="D16" s="356">
        <f>IF(B16="","",B16-B15)</f>
        <v>2</v>
      </c>
      <c r="E16" s="213">
        <v>16.3</v>
      </c>
      <c r="F16" s="213">
        <v>1.67</v>
      </c>
      <c r="G16" s="212">
        <v>0</v>
      </c>
      <c r="H16" s="307"/>
      <c r="I16" s="214">
        <f t="shared" si="0"/>
        <v>28.699999999999996</v>
      </c>
      <c r="J16" s="214">
        <f t="shared" si="1"/>
        <v>48.3</v>
      </c>
      <c r="K16" s="215">
        <f t="shared" si="2"/>
        <v>0</v>
      </c>
      <c r="L16" s="223">
        <f>IF($B16="","",IF(ISNUMBER($H16)=FALSE,0,$D16*CalcElogP_Tbl($I16,$J16,$H16,$O$13:$X$13,$O$15:$X$24)*100))</f>
        <v>0</v>
      </c>
      <c r="M16" s="183"/>
      <c r="N16" s="365">
        <v>2</v>
      </c>
      <c r="O16" s="218">
        <v>9.8</v>
      </c>
      <c r="P16" s="219">
        <v>1.513</v>
      </c>
      <c r="Q16" s="218">
        <v>19.61</v>
      </c>
      <c r="R16" s="219">
        <v>1.494</v>
      </c>
      <c r="S16" s="218"/>
      <c r="T16" s="219"/>
      <c r="U16" s="218"/>
      <c r="V16" s="219"/>
      <c r="W16" s="218"/>
      <c r="X16" s="220"/>
      <c r="Y16" s="183"/>
      <c r="Z16" s="221">
        <f aca="true" t="shared" si="4" ref="Z16:Z54">IF($B16="","",$Z15+$D16*$E16)</f>
        <v>64.6</v>
      </c>
      <c r="AA16" s="222">
        <f t="shared" si="3"/>
        <v>48.3</v>
      </c>
    </row>
    <row r="17" spans="2:27" ht="13.5">
      <c r="B17" s="429">
        <v>6</v>
      </c>
      <c r="C17" s="212" t="s">
        <v>96</v>
      </c>
      <c r="D17" s="356">
        <f aca="true" t="shared" si="5" ref="D17:D54">IF(B17="","",B17-B16)</f>
        <v>2</v>
      </c>
      <c r="E17" s="213">
        <v>16.3</v>
      </c>
      <c r="F17" s="213">
        <v>1.06</v>
      </c>
      <c r="G17" s="212">
        <v>0</v>
      </c>
      <c r="H17" s="307"/>
      <c r="I17" s="214">
        <f t="shared" si="0"/>
        <v>41.69999999999999</v>
      </c>
      <c r="J17" s="215">
        <f t="shared" si="1"/>
        <v>61.29999999999999</v>
      </c>
      <c r="K17" s="215">
        <f t="shared" si="2"/>
        <v>0</v>
      </c>
      <c r="L17" s="223">
        <f>IF($B17="","",IF(ISNUMBER($H17)=FALSE,0,$D17*CalcElogP_Tbl($I17,$J17,$H17,$O$13:$X$13,$O$15:$X$24)*100))</f>
        <v>0</v>
      </c>
      <c r="M17" s="183"/>
      <c r="N17" s="365">
        <v>3</v>
      </c>
      <c r="O17" s="218">
        <v>19.61</v>
      </c>
      <c r="P17" s="219">
        <v>1.494</v>
      </c>
      <c r="Q17" s="218">
        <v>39.22</v>
      </c>
      <c r="R17" s="219">
        <v>1.46</v>
      </c>
      <c r="S17" s="218"/>
      <c r="T17" s="219"/>
      <c r="U17" s="218"/>
      <c r="V17" s="219"/>
      <c r="W17" s="218"/>
      <c r="X17" s="220"/>
      <c r="Y17" s="183"/>
      <c r="Z17" s="221">
        <f t="shared" si="4"/>
        <v>97.19999999999999</v>
      </c>
      <c r="AA17" s="222">
        <f t="shared" si="3"/>
        <v>80.89999999999999</v>
      </c>
    </row>
    <row r="18" spans="2:27" ht="13.5">
      <c r="B18" s="429">
        <v>9</v>
      </c>
      <c r="C18" s="212" t="s">
        <v>156</v>
      </c>
      <c r="D18" s="356">
        <f t="shared" si="5"/>
        <v>3</v>
      </c>
      <c r="E18" s="213">
        <v>16.7</v>
      </c>
      <c r="F18" s="213">
        <v>1.06</v>
      </c>
      <c r="G18" s="212">
        <v>0.46</v>
      </c>
      <c r="H18" s="307">
        <v>1</v>
      </c>
      <c r="I18" s="214">
        <f t="shared" si="0"/>
        <v>58.54999999999998</v>
      </c>
      <c r="J18" s="215">
        <f t="shared" si="1"/>
        <v>78.14999999999998</v>
      </c>
      <c r="K18" s="215">
        <f t="shared" si="2"/>
        <v>8.40072206148625</v>
      </c>
      <c r="L18" s="223">
        <f>IF($B18="","",IF(ISNUMBER($H18)=FALSE,0,$D18*CalcElogP_Tbl($I18,$J18,$H18,$O$13:$X$13,$O$15:$X$24)*100))</f>
        <v>3.2073059597337013</v>
      </c>
      <c r="M18" s="183"/>
      <c r="N18" s="365">
        <v>4</v>
      </c>
      <c r="O18" s="218">
        <v>39.22</v>
      </c>
      <c r="P18" s="219">
        <v>1.46</v>
      </c>
      <c r="Q18" s="218">
        <v>74.43</v>
      </c>
      <c r="R18" s="219">
        <v>1.408</v>
      </c>
      <c r="S18" s="218"/>
      <c r="T18" s="219"/>
      <c r="U18" s="218"/>
      <c r="V18" s="219"/>
      <c r="W18" s="218"/>
      <c r="X18" s="220"/>
      <c r="Y18" s="183"/>
      <c r="Z18" s="221">
        <f t="shared" si="4"/>
        <v>147.29999999999998</v>
      </c>
      <c r="AA18" s="222">
        <f t="shared" si="3"/>
        <v>122.24999999999999</v>
      </c>
    </row>
    <row r="19" spans="2:27" ht="13.5">
      <c r="B19" s="429">
        <v>11</v>
      </c>
      <c r="C19" s="212" t="s">
        <v>96</v>
      </c>
      <c r="D19" s="356">
        <f t="shared" si="5"/>
        <v>2</v>
      </c>
      <c r="E19" s="213">
        <v>17.1</v>
      </c>
      <c r="F19" s="213">
        <v>0.94</v>
      </c>
      <c r="G19" s="212">
        <v>0</v>
      </c>
      <c r="H19" s="307"/>
      <c r="I19" s="224">
        <f t="shared" si="0"/>
        <v>76.2</v>
      </c>
      <c r="J19" s="225">
        <f t="shared" si="1"/>
        <v>95.8</v>
      </c>
      <c r="K19" s="225">
        <f t="shared" si="2"/>
        <v>0</v>
      </c>
      <c r="L19" s="226">
        <f>IF($B19="","",IF(ISNUMBER($H19)=FALSE,0,$D19*CalcElogP_Tbl($I19,$J19,$H19,$O$13:$X$13,$O$15:$X$24)*100))</f>
        <v>0</v>
      </c>
      <c r="M19" s="183"/>
      <c r="N19" s="365">
        <v>5</v>
      </c>
      <c r="O19" s="218">
        <v>74.43</v>
      </c>
      <c r="P19" s="219">
        <v>1.408</v>
      </c>
      <c r="Q19" s="218">
        <v>156.9</v>
      </c>
      <c r="R19" s="219">
        <v>1.309</v>
      </c>
      <c r="S19" s="218"/>
      <c r="T19" s="219"/>
      <c r="U19" s="218"/>
      <c r="V19" s="219"/>
      <c r="W19" s="218"/>
      <c r="X19" s="220"/>
      <c r="Y19" s="183"/>
      <c r="Z19" s="221">
        <f t="shared" si="4"/>
        <v>181.5</v>
      </c>
      <c r="AA19" s="222">
        <f t="shared" si="3"/>
        <v>164.4</v>
      </c>
    </row>
    <row r="20" spans="2:27" ht="13.5">
      <c r="B20" s="429">
        <v>14</v>
      </c>
      <c r="C20" s="212" t="s">
        <v>96</v>
      </c>
      <c r="D20" s="356">
        <f t="shared" si="5"/>
        <v>3</v>
      </c>
      <c r="E20" s="213">
        <v>16.8</v>
      </c>
      <c r="F20" s="213">
        <v>1.5</v>
      </c>
      <c r="G20" s="212">
        <v>0</v>
      </c>
      <c r="H20" s="307"/>
      <c r="I20" s="224">
        <f t="shared" si="0"/>
        <v>93.99999999999999</v>
      </c>
      <c r="J20" s="225">
        <f t="shared" si="1"/>
        <v>113.59999999999998</v>
      </c>
      <c r="K20" s="225">
        <f t="shared" si="2"/>
        <v>0</v>
      </c>
      <c r="L20" s="226">
        <f>IF($B20="","",IF(ISNUMBER($H20)=FALSE,0,$D20*CalcElogP_Tbl($I20,$J20,$H20,$O$13:$X$13,$O$15:$X$24)*100))</f>
        <v>0</v>
      </c>
      <c r="M20" s="183"/>
      <c r="N20" s="365">
        <v>6</v>
      </c>
      <c r="O20" s="218">
        <v>156.9</v>
      </c>
      <c r="P20" s="219">
        <v>1.309</v>
      </c>
      <c r="Q20" s="218">
        <v>313.7</v>
      </c>
      <c r="R20" s="219">
        <v>1.171</v>
      </c>
      <c r="S20" s="218"/>
      <c r="T20" s="219"/>
      <c r="U20" s="218"/>
      <c r="V20" s="219"/>
      <c r="W20" s="218"/>
      <c r="X20" s="220"/>
      <c r="Y20" s="183"/>
      <c r="Z20" s="221">
        <f t="shared" si="4"/>
        <v>231.9</v>
      </c>
      <c r="AA20" s="222">
        <f t="shared" si="3"/>
        <v>206.7</v>
      </c>
    </row>
    <row r="21" spans="2:27" ht="13.5">
      <c r="B21" s="429">
        <v>17</v>
      </c>
      <c r="C21" s="212" t="s">
        <v>96</v>
      </c>
      <c r="D21" s="356">
        <f t="shared" si="5"/>
        <v>3</v>
      </c>
      <c r="E21" s="213">
        <v>17.2</v>
      </c>
      <c r="F21" s="213">
        <v>0.93</v>
      </c>
      <c r="G21" s="212">
        <v>0</v>
      </c>
      <c r="H21" s="307"/>
      <c r="I21" s="214">
        <f t="shared" si="0"/>
        <v>115.59999999999997</v>
      </c>
      <c r="J21" s="215">
        <f t="shared" si="1"/>
        <v>135.2</v>
      </c>
      <c r="K21" s="215">
        <f t="shared" si="2"/>
        <v>0</v>
      </c>
      <c r="L21" s="223">
        <f>IF($B21="","",IF(ISNUMBER($H21)=FALSE,0,$D21*CalcElogP_Tbl($I21,$J21,$H21,$O$13:$X$13,$O$15:$X$24)*100))</f>
        <v>0</v>
      </c>
      <c r="M21" s="183"/>
      <c r="N21" s="365">
        <v>7</v>
      </c>
      <c r="O21" s="218">
        <v>313.7</v>
      </c>
      <c r="P21" s="219">
        <v>1.171</v>
      </c>
      <c r="Q21" s="218">
        <v>627.5</v>
      </c>
      <c r="R21" s="219">
        <v>1.038</v>
      </c>
      <c r="S21" s="218"/>
      <c r="T21" s="219"/>
      <c r="U21" s="218"/>
      <c r="V21" s="219"/>
      <c r="W21" s="218"/>
      <c r="X21" s="220"/>
      <c r="Y21" s="183"/>
      <c r="Z21" s="221">
        <f t="shared" si="4"/>
        <v>283.5</v>
      </c>
      <c r="AA21" s="222">
        <f t="shared" si="3"/>
        <v>257.7</v>
      </c>
    </row>
    <row r="22" spans="2:27" ht="13.5">
      <c r="B22" s="429">
        <v>32</v>
      </c>
      <c r="C22" s="212" t="s">
        <v>96</v>
      </c>
      <c r="D22" s="356">
        <f t="shared" si="5"/>
        <v>15</v>
      </c>
      <c r="E22" s="213">
        <v>17.6</v>
      </c>
      <c r="F22" s="213">
        <v>1.01</v>
      </c>
      <c r="G22" s="212">
        <v>0</v>
      </c>
      <c r="H22" s="307"/>
      <c r="I22" s="214">
        <f t="shared" si="0"/>
        <v>185.2</v>
      </c>
      <c r="J22" s="215">
        <f t="shared" si="1"/>
        <v>204.79999999999998</v>
      </c>
      <c r="K22" s="215">
        <f t="shared" si="2"/>
        <v>0</v>
      </c>
      <c r="L22" s="223">
        <f>IF($B22="","",IF(ISNUMBER($H22)=FALSE,0,$D22*CalcElogP_Tbl($I22,$J22,$H22,$O$13:$X$13,$O$15:$X$24)*100))</f>
        <v>0</v>
      </c>
      <c r="M22" s="183"/>
      <c r="N22" s="365">
        <v>8</v>
      </c>
      <c r="O22" s="218">
        <v>627.5</v>
      </c>
      <c r="P22" s="219">
        <v>1.038</v>
      </c>
      <c r="Q22" s="218">
        <v>1255</v>
      </c>
      <c r="R22" s="219">
        <v>0.907</v>
      </c>
      <c r="S22" s="218"/>
      <c r="T22" s="219"/>
      <c r="U22" s="218"/>
      <c r="V22" s="219"/>
      <c r="W22" s="218"/>
      <c r="X22" s="220"/>
      <c r="Y22" s="183"/>
      <c r="Z22" s="221">
        <f t="shared" si="4"/>
        <v>547.5</v>
      </c>
      <c r="AA22" s="222">
        <f t="shared" si="3"/>
        <v>415.5</v>
      </c>
    </row>
    <row r="23" spans="2:27" ht="13.5">
      <c r="B23" s="429">
        <v>47</v>
      </c>
      <c r="C23" s="212" t="s">
        <v>142</v>
      </c>
      <c r="D23" s="356">
        <f t="shared" si="5"/>
        <v>15</v>
      </c>
      <c r="E23" s="213">
        <v>17.6</v>
      </c>
      <c r="F23" s="213">
        <v>1.01</v>
      </c>
      <c r="G23" s="212">
        <v>0</v>
      </c>
      <c r="H23" s="307"/>
      <c r="I23" s="214">
        <f t="shared" si="0"/>
        <v>302.2</v>
      </c>
      <c r="J23" s="215">
        <f t="shared" si="1"/>
        <v>321.79999999999995</v>
      </c>
      <c r="K23" s="215">
        <f>IF($B23="","",IF($B23&lt;=$D$7,0,IF(ISNUMBER($G23),$G23*$D23/(1+$F23)*LOG($J23/$I23)*100,0)))</f>
        <v>0</v>
      </c>
      <c r="L23" s="223">
        <f>IF($B23="","",IF(ISNUMBER($H23)=FALSE,0,$D23*CalcElogP_Tbl($I23,$J23,$H23,$O$13:$X$13,$O$15:$X$24)*100))</f>
        <v>0</v>
      </c>
      <c r="M23" s="183"/>
      <c r="N23" s="365">
        <v>9</v>
      </c>
      <c r="O23" s="218">
        <v>1255</v>
      </c>
      <c r="P23" s="219">
        <v>0.907</v>
      </c>
      <c r="Q23" s="218"/>
      <c r="R23" s="219"/>
      <c r="S23" s="218"/>
      <c r="T23" s="219"/>
      <c r="U23" s="218"/>
      <c r="V23" s="219"/>
      <c r="W23" s="218"/>
      <c r="X23" s="220"/>
      <c r="Y23" s="183"/>
      <c r="Z23" s="221">
        <f t="shared" si="4"/>
        <v>811.5</v>
      </c>
      <c r="AA23" s="222">
        <f t="shared" si="3"/>
        <v>679.5</v>
      </c>
    </row>
    <row r="24" spans="2:27" ht="14.25" thickBot="1">
      <c r="B24" s="429"/>
      <c r="C24" s="212"/>
      <c r="D24" s="356">
        <f t="shared" si="5"/>
      </c>
      <c r="E24" s="213"/>
      <c r="F24" s="213"/>
      <c r="G24" s="305"/>
      <c r="H24" s="307"/>
      <c r="I24" s="214">
        <f t="shared" si="0"/>
      </c>
      <c r="J24" s="215">
        <f t="shared" si="1"/>
      </c>
      <c r="K24" s="215">
        <f aca="true" t="shared" si="6" ref="K24:K54">IF($B24="","",IF($B24&lt;=$D$7,0,IF(ISNUMBER($G24),$G24*$D24/(1+$F24)*LOG($J24/$I24)*100,0)))</f>
      </c>
      <c r="L24" s="223">
        <f>IF($B24="","",IF(ISNUMBER($H24)=FALSE,0,$D24*CalcElogP_Tbl($I24,$J24,$H24,$O$13:$X$13,$O$15:$X$24)*100))</f>
      </c>
      <c r="M24" s="183"/>
      <c r="N24" s="366">
        <v>10</v>
      </c>
      <c r="O24" s="228">
        <v>9.8</v>
      </c>
      <c r="P24" s="229">
        <v>0.987</v>
      </c>
      <c r="Q24" s="228"/>
      <c r="R24" s="229"/>
      <c r="S24" s="228"/>
      <c r="T24" s="229"/>
      <c r="U24" s="228"/>
      <c r="V24" s="229"/>
      <c r="W24" s="228"/>
      <c r="X24" s="230"/>
      <c r="Y24" s="183"/>
      <c r="Z24" s="221">
        <f t="shared" si="4"/>
      </c>
      <c r="AA24" s="222">
        <f t="shared" si="3"/>
      </c>
    </row>
    <row r="25" spans="2:27" ht="13.5">
      <c r="B25" s="429"/>
      <c r="C25" s="212"/>
      <c r="D25" s="356">
        <f t="shared" si="5"/>
      </c>
      <c r="E25" s="213"/>
      <c r="F25" s="213"/>
      <c r="G25" s="305"/>
      <c r="H25" s="307"/>
      <c r="I25" s="214">
        <f t="shared" si="0"/>
      </c>
      <c r="J25" s="215">
        <f t="shared" si="1"/>
      </c>
      <c r="K25" s="215">
        <f t="shared" si="6"/>
      </c>
      <c r="L25" s="223">
        <f>IF($B25="","",IF(ISNUMBER($H25)=FALSE,0,$D25*CalcElogP_Tbl($I25,$J25,$H25,$O$13:$X$13,$O$15:$X$24)*100))</f>
      </c>
      <c r="M25" s="183"/>
      <c r="N25" s="183"/>
      <c r="O25" s="183"/>
      <c r="P25" s="183"/>
      <c r="Q25" s="183"/>
      <c r="R25" s="183"/>
      <c r="S25" s="183"/>
      <c r="T25" s="183"/>
      <c r="U25" s="183"/>
      <c r="V25" s="183"/>
      <c r="W25" s="183"/>
      <c r="X25" s="183"/>
      <c r="Y25" s="183"/>
      <c r="Z25" s="221">
        <f t="shared" si="4"/>
      </c>
      <c r="AA25" s="222">
        <f t="shared" si="3"/>
      </c>
    </row>
    <row r="26" spans="2:27" ht="13.5">
      <c r="B26" s="429"/>
      <c r="C26" s="212"/>
      <c r="D26" s="356">
        <f t="shared" si="5"/>
      </c>
      <c r="E26" s="213"/>
      <c r="F26" s="213"/>
      <c r="G26" s="305"/>
      <c r="H26" s="307"/>
      <c r="I26" s="214">
        <f t="shared" si="0"/>
      </c>
      <c r="J26" s="215">
        <f t="shared" si="1"/>
      </c>
      <c r="K26" s="215">
        <f t="shared" si="6"/>
      </c>
      <c r="L26" s="223">
        <f>IF($B26="","",IF(ISNUMBER($H26)=FALSE,0,$D26*CalcElogP_Tbl($I26,$J26,$H26,$O$13:$X$13,$O$15:$X$24)*100))</f>
      </c>
      <c r="M26" s="183"/>
      <c r="O26" s="183"/>
      <c r="P26" s="183"/>
      <c r="Q26" s="183"/>
      <c r="R26" s="183"/>
      <c r="S26" s="183"/>
      <c r="U26" s="231" t="s">
        <v>123</v>
      </c>
      <c r="V26" s="183"/>
      <c r="W26" s="183"/>
      <c r="X26" s="183"/>
      <c r="Y26" s="183"/>
      <c r="Z26" s="221">
        <f t="shared" si="4"/>
      </c>
      <c r="AA26" s="222">
        <f t="shared" si="3"/>
      </c>
    </row>
    <row r="27" spans="2:27" ht="13.5">
      <c r="B27" s="429"/>
      <c r="C27" s="212"/>
      <c r="D27" s="356">
        <f t="shared" si="5"/>
      </c>
      <c r="E27" s="213"/>
      <c r="F27" s="213"/>
      <c r="G27" s="305"/>
      <c r="H27" s="307"/>
      <c r="I27" s="214">
        <f t="shared" si="0"/>
      </c>
      <c r="J27" s="215">
        <f t="shared" si="1"/>
      </c>
      <c r="K27" s="215">
        <f t="shared" si="6"/>
      </c>
      <c r="L27" s="223">
        <f>IF($B27="","",IF(ISNUMBER($H27)=FALSE,0,$D27*CalcElogP_Tbl($I27,$J27,$H27,$O$13:$X$13,$O$15:$X$24)*100))</f>
      </c>
      <c r="M27" s="183"/>
      <c r="O27" s="183"/>
      <c r="P27" s="183"/>
      <c r="Q27" s="183"/>
      <c r="R27" s="183"/>
      <c r="S27" s="183"/>
      <c r="U27" s="231" t="s">
        <v>124</v>
      </c>
      <c r="V27" s="183"/>
      <c r="W27" s="183"/>
      <c r="X27" s="183"/>
      <c r="Y27" s="183"/>
      <c r="Z27" s="221">
        <f t="shared" si="4"/>
      </c>
      <c r="AA27" s="222">
        <f t="shared" si="3"/>
      </c>
    </row>
    <row r="28" spans="2:27" ht="13.5">
      <c r="B28" s="429"/>
      <c r="C28" s="212"/>
      <c r="D28" s="356">
        <f t="shared" si="5"/>
      </c>
      <c r="E28" s="213"/>
      <c r="F28" s="213"/>
      <c r="G28" s="305"/>
      <c r="H28" s="307"/>
      <c r="I28" s="214">
        <f t="shared" si="0"/>
      </c>
      <c r="J28" s="215">
        <f t="shared" si="1"/>
      </c>
      <c r="K28" s="215">
        <f t="shared" si="6"/>
      </c>
      <c r="L28" s="223">
        <f>IF($B28="","",IF(ISNUMBER($H28)=FALSE,0,$D28*CalcElogP_Tbl($I28,$J28,$H28,$O$13:$X$13,$O$15:$X$24)*100))</f>
      </c>
      <c r="M28" s="183"/>
      <c r="N28" s="183"/>
      <c r="O28" s="183"/>
      <c r="P28" s="183"/>
      <c r="Q28" s="183"/>
      <c r="R28" s="183"/>
      <c r="S28" s="183"/>
      <c r="T28" s="183"/>
      <c r="U28" s="183"/>
      <c r="V28" s="183"/>
      <c r="W28" s="183"/>
      <c r="X28" s="183"/>
      <c r="Y28" s="183"/>
      <c r="Z28" s="221">
        <f t="shared" si="4"/>
      </c>
      <c r="AA28" s="222">
        <f t="shared" si="3"/>
      </c>
    </row>
    <row r="29" spans="2:27" ht="13.5">
      <c r="B29" s="429"/>
      <c r="C29" s="212"/>
      <c r="D29" s="356">
        <f t="shared" si="5"/>
      </c>
      <c r="E29" s="213"/>
      <c r="F29" s="213"/>
      <c r="G29" s="305"/>
      <c r="H29" s="307"/>
      <c r="I29" s="214">
        <f t="shared" si="0"/>
      </c>
      <c r="J29" s="215">
        <f t="shared" si="1"/>
      </c>
      <c r="K29" s="215">
        <f t="shared" si="6"/>
      </c>
      <c r="L29" s="223">
        <f>IF($B29="","",IF(ISNUMBER($H29)=FALSE,0,$D29*CalcElogP_Tbl($I29,$J29,$H29,$O$13:$X$13,$O$15:$X$24)*100))</f>
      </c>
      <c r="M29" s="183"/>
      <c r="N29" s="183"/>
      <c r="O29" s="183"/>
      <c r="P29" s="183"/>
      <c r="Q29" s="183"/>
      <c r="R29" s="183"/>
      <c r="S29" s="183"/>
      <c r="T29" s="183"/>
      <c r="U29" s="183"/>
      <c r="V29" s="183"/>
      <c r="W29" s="183"/>
      <c r="X29" s="183"/>
      <c r="Y29" s="183"/>
      <c r="Z29" s="221">
        <f t="shared" si="4"/>
      </c>
      <c r="AA29" s="222">
        <f t="shared" si="3"/>
      </c>
    </row>
    <row r="30" spans="2:27" ht="13.5">
      <c r="B30" s="429"/>
      <c r="C30" s="212"/>
      <c r="D30" s="356">
        <f t="shared" si="5"/>
      </c>
      <c r="E30" s="213"/>
      <c r="F30" s="213"/>
      <c r="G30" s="305"/>
      <c r="H30" s="307"/>
      <c r="I30" s="214">
        <f t="shared" si="0"/>
      </c>
      <c r="J30" s="215">
        <f t="shared" si="1"/>
      </c>
      <c r="K30" s="215">
        <f t="shared" si="6"/>
      </c>
      <c r="L30" s="223">
        <f>IF($B30="","",IF(ISNUMBER($H30)=FALSE,0,$D30*CalcElogP_Tbl($I30,$J30,$H30,$O$13:$X$13,$O$15:$X$24)*100))</f>
      </c>
      <c r="M30" s="183"/>
      <c r="N30" s="183"/>
      <c r="O30" s="183"/>
      <c r="P30" s="183"/>
      <c r="Q30" s="183"/>
      <c r="R30" s="183"/>
      <c r="S30" s="183"/>
      <c r="T30" s="183"/>
      <c r="U30" s="183"/>
      <c r="V30" s="183"/>
      <c r="W30" s="183"/>
      <c r="X30" s="183"/>
      <c r="Y30" s="183"/>
      <c r="Z30" s="221">
        <f t="shared" si="4"/>
      </c>
      <c r="AA30" s="222">
        <f t="shared" si="3"/>
      </c>
    </row>
    <row r="31" spans="2:27" ht="13.5">
      <c r="B31" s="429"/>
      <c r="C31" s="212"/>
      <c r="D31" s="356">
        <f t="shared" si="5"/>
      </c>
      <c r="E31" s="213"/>
      <c r="F31" s="213"/>
      <c r="G31" s="305"/>
      <c r="H31" s="307"/>
      <c r="I31" s="214">
        <f t="shared" si="0"/>
      </c>
      <c r="J31" s="215">
        <f t="shared" si="1"/>
      </c>
      <c r="K31" s="215">
        <f t="shared" si="6"/>
      </c>
      <c r="L31" s="223">
        <f>IF($B31="","",IF(ISNUMBER($H31)=FALSE,0,$D31*CalcElogP_Tbl($I31,$J31,$H31,$O$13:$X$13,$O$15:$X$24)*100))</f>
      </c>
      <c r="M31" s="183"/>
      <c r="N31" s="183"/>
      <c r="O31" s="183"/>
      <c r="P31" s="183"/>
      <c r="Q31" s="183"/>
      <c r="R31" s="183"/>
      <c r="S31" s="183"/>
      <c r="T31" s="183"/>
      <c r="U31" s="183"/>
      <c r="V31" s="183"/>
      <c r="W31" s="183"/>
      <c r="X31" s="183"/>
      <c r="Y31" s="183"/>
      <c r="Z31" s="221">
        <f t="shared" si="4"/>
      </c>
      <c r="AA31" s="222">
        <f t="shared" si="3"/>
      </c>
    </row>
    <row r="32" spans="2:27" ht="13.5">
      <c r="B32" s="429"/>
      <c r="C32" s="212"/>
      <c r="D32" s="356">
        <f t="shared" si="5"/>
      </c>
      <c r="E32" s="213"/>
      <c r="F32" s="213"/>
      <c r="G32" s="305"/>
      <c r="H32" s="307"/>
      <c r="I32" s="214">
        <f t="shared" si="0"/>
      </c>
      <c r="J32" s="215">
        <f t="shared" si="1"/>
      </c>
      <c r="K32" s="215">
        <f t="shared" si="6"/>
      </c>
      <c r="L32" s="223">
        <f>IF($B32="","",IF(ISNUMBER($H32)=FALSE,0,$D32*CalcElogP_Tbl($I32,$J32,$H32,$O$13:$X$13,$O$15:$X$24)*100))</f>
      </c>
      <c r="M32" s="183"/>
      <c r="N32" s="183"/>
      <c r="O32" s="183"/>
      <c r="P32" s="183"/>
      <c r="Q32" s="183"/>
      <c r="R32" s="183"/>
      <c r="S32" s="183"/>
      <c r="T32" s="183"/>
      <c r="U32" s="183"/>
      <c r="V32" s="183"/>
      <c r="W32" s="183"/>
      <c r="X32" s="183"/>
      <c r="Y32" s="183"/>
      <c r="Z32" s="221">
        <f t="shared" si="4"/>
      </c>
      <c r="AA32" s="222">
        <f t="shared" si="3"/>
      </c>
    </row>
    <row r="33" spans="2:27" ht="13.5">
      <c r="B33" s="429"/>
      <c r="C33" s="212"/>
      <c r="D33" s="356">
        <f t="shared" si="5"/>
      </c>
      <c r="E33" s="213"/>
      <c r="F33" s="213"/>
      <c r="G33" s="305"/>
      <c r="H33" s="307"/>
      <c r="I33" s="214">
        <f t="shared" si="0"/>
      </c>
      <c r="J33" s="215">
        <f t="shared" si="1"/>
      </c>
      <c r="K33" s="215">
        <f t="shared" si="6"/>
      </c>
      <c r="L33" s="223">
        <f>IF($B33="","",IF(ISNUMBER($H33)=FALSE,0,$D33*CalcElogP_Tbl($I33,$J33,$H33,$O$13:$X$13,$O$15:$X$24)*100))</f>
      </c>
      <c r="M33" s="183"/>
      <c r="N33" s="183"/>
      <c r="O33" s="183"/>
      <c r="P33" s="183"/>
      <c r="Q33" s="183"/>
      <c r="R33" s="183"/>
      <c r="S33" s="183"/>
      <c r="T33" s="183"/>
      <c r="U33" s="183"/>
      <c r="V33" s="183"/>
      <c r="W33" s="183"/>
      <c r="X33" s="183"/>
      <c r="Y33" s="183"/>
      <c r="Z33" s="221">
        <f t="shared" si="4"/>
      </c>
      <c r="AA33" s="222">
        <f t="shared" si="3"/>
      </c>
    </row>
    <row r="34" spans="2:27" ht="13.5">
      <c r="B34" s="429"/>
      <c r="C34" s="212"/>
      <c r="D34" s="356">
        <f t="shared" si="5"/>
      </c>
      <c r="E34" s="213"/>
      <c r="F34" s="213"/>
      <c r="G34" s="305"/>
      <c r="H34" s="307"/>
      <c r="I34" s="214">
        <f t="shared" si="0"/>
      </c>
      <c r="J34" s="215">
        <f t="shared" si="1"/>
      </c>
      <c r="K34" s="215">
        <f t="shared" si="6"/>
      </c>
      <c r="L34" s="223">
        <f>IF($B34="","",IF(ISNUMBER($H34)=FALSE,0,$D34*CalcElogP_Tbl($I34,$J34,$H34,$O$13:$X$13,$O$15:$X$24)*100))</f>
      </c>
      <c r="M34" s="183"/>
      <c r="N34" s="183"/>
      <c r="O34" s="183"/>
      <c r="P34" s="183"/>
      <c r="Q34" s="183"/>
      <c r="R34" s="183"/>
      <c r="S34" s="183"/>
      <c r="T34" s="183"/>
      <c r="U34" s="183"/>
      <c r="V34" s="183"/>
      <c r="W34" s="183"/>
      <c r="X34" s="183"/>
      <c r="Y34" s="183"/>
      <c r="Z34" s="221">
        <f t="shared" si="4"/>
      </c>
      <c r="AA34" s="222">
        <f t="shared" si="3"/>
      </c>
    </row>
    <row r="35" spans="2:27" ht="13.5">
      <c r="B35" s="429"/>
      <c r="C35" s="212"/>
      <c r="D35" s="356">
        <f t="shared" si="5"/>
      </c>
      <c r="E35" s="213"/>
      <c r="F35" s="213"/>
      <c r="G35" s="305"/>
      <c r="H35" s="307"/>
      <c r="I35" s="214">
        <f t="shared" si="0"/>
      </c>
      <c r="J35" s="215">
        <f t="shared" si="1"/>
      </c>
      <c r="K35" s="215">
        <f t="shared" si="6"/>
      </c>
      <c r="L35" s="223">
        <f>IF($B35="","",IF(ISNUMBER($H35)=FALSE,0,$D35*CalcElogP_Tbl($I35,$J35,$H35,$O$13:$X$13,$O$15:$X$24)*100))</f>
      </c>
      <c r="M35" s="183"/>
      <c r="N35" s="183"/>
      <c r="O35" s="183"/>
      <c r="P35" s="183"/>
      <c r="Q35" s="183"/>
      <c r="R35" s="183"/>
      <c r="S35" s="183"/>
      <c r="T35" s="183"/>
      <c r="U35" s="183"/>
      <c r="V35" s="183"/>
      <c r="W35" s="183"/>
      <c r="X35" s="183"/>
      <c r="Y35" s="183"/>
      <c r="Z35" s="221">
        <f t="shared" si="4"/>
      </c>
      <c r="AA35" s="222">
        <f t="shared" si="3"/>
      </c>
    </row>
    <row r="36" spans="2:27" ht="13.5">
      <c r="B36" s="429"/>
      <c r="C36" s="212"/>
      <c r="D36" s="356">
        <f t="shared" si="5"/>
      </c>
      <c r="E36" s="213"/>
      <c r="F36" s="213"/>
      <c r="G36" s="305"/>
      <c r="H36" s="307"/>
      <c r="I36" s="214">
        <f t="shared" si="0"/>
      </c>
      <c r="J36" s="215">
        <f t="shared" si="1"/>
      </c>
      <c r="K36" s="215">
        <f t="shared" si="6"/>
      </c>
      <c r="L36" s="223">
        <f>IF($B36="","",IF(ISNUMBER($H36)=FALSE,0,$D36*CalcElogP_Tbl($I36,$J36,$H36,$O$13:$X$13,$O$15:$X$24)*100))</f>
      </c>
      <c r="M36" s="183"/>
      <c r="N36" s="183"/>
      <c r="O36" s="183"/>
      <c r="P36" s="183"/>
      <c r="Q36" s="183"/>
      <c r="R36" s="183"/>
      <c r="S36" s="183"/>
      <c r="T36" s="183"/>
      <c r="U36" s="183"/>
      <c r="V36" s="183"/>
      <c r="W36" s="183"/>
      <c r="X36" s="183"/>
      <c r="Y36" s="183"/>
      <c r="Z36" s="221">
        <f t="shared" si="4"/>
      </c>
      <c r="AA36" s="222">
        <f t="shared" si="3"/>
      </c>
    </row>
    <row r="37" spans="2:27" ht="13.5">
      <c r="B37" s="429"/>
      <c r="C37" s="212"/>
      <c r="D37" s="356">
        <f t="shared" si="5"/>
      </c>
      <c r="E37" s="213"/>
      <c r="F37" s="213"/>
      <c r="G37" s="305"/>
      <c r="H37" s="307"/>
      <c r="I37" s="214">
        <f t="shared" si="0"/>
      </c>
      <c r="J37" s="215">
        <f t="shared" si="1"/>
      </c>
      <c r="K37" s="215">
        <f t="shared" si="6"/>
      </c>
      <c r="L37" s="223">
        <f>IF($B37="","",IF(ISNUMBER($H37)=FALSE,0,$D37*CalcElogP_Tbl($I37,$J37,$H37,$O$13:$X$13,$O$15:$X$24)*100))</f>
      </c>
      <c r="M37" s="183"/>
      <c r="N37" s="183"/>
      <c r="O37" s="183"/>
      <c r="P37" s="183"/>
      <c r="Q37" s="183"/>
      <c r="R37" s="183"/>
      <c r="S37" s="183"/>
      <c r="T37" s="183"/>
      <c r="U37" s="183"/>
      <c r="V37" s="183"/>
      <c r="W37" s="183"/>
      <c r="X37" s="183"/>
      <c r="Y37" s="183"/>
      <c r="Z37" s="221">
        <f t="shared" si="4"/>
      </c>
      <c r="AA37" s="222">
        <f t="shared" si="3"/>
      </c>
    </row>
    <row r="38" spans="2:27" ht="13.5">
      <c r="B38" s="429"/>
      <c r="C38" s="212"/>
      <c r="D38" s="356">
        <f t="shared" si="5"/>
      </c>
      <c r="E38" s="213"/>
      <c r="F38" s="213"/>
      <c r="G38" s="305"/>
      <c r="H38" s="307"/>
      <c r="I38" s="214">
        <f t="shared" si="0"/>
      </c>
      <c r="J38" s="215">
        <f t="shared" si="1"/>
      </c>
      <c r="K38" s="215">
        <f t="shared" si="6"/>
      </c>
      <c r="L38" s="223">
        <f>IF($B38="","",IF(ISNUMBER($H38)=FALSE,0,$D38*CalcElogP_Tbl($I38,$J38,$H38,$O$13:$X$13,$O$15:$X$24)*100))</f>
      </c>
      <c r="M38" s="183"/>
      <c r="N38" s="183"/>
      <c r="O38" s="183"/>
      <c r="P38" s="183"/>
      <c r="Q38" s="183"/>
      <c r="R38" s="183"/>
      <c r="S38" s="183"/>
      <c r="T38" s="183"/>
      <c r="U38" s="183"/>
      <c r="V38" s="183"/>
      <c r="W38" s="183"/>
      <c r="X38" s="183"/>
      <c r="Y38" s="183"/>
      <c r="Z38" s="221">
        <f t="shared" si="4"/>
      </c>
      <c r="AA38" s="222">
        <f t="shared" si="3"/>
      </c>
    </row>
    <row r="39" spans="2:27" ht="13.5">
      <c r="B39" s="429"/>
      <c r="C39" s="212"/>
      <c r="D39" s="356">
        <f t="shared" si="5"/>
      </c>
      <c r="E39" s="213"/>
      <c r="F39" s="213"/>
      <c r="G39" s="305"/>
      <c r="H39" s="307"/>
      <c r="I39" s="214">
        <f t="shared" si="0"/>
      </c>
      <c r="J39" s="215">
        <f t="shared" si="1"/>
      </c>
      <c r="K39" s="215">
        <f t="shared" si="6"/>
      </c>
      <c r="L39" s="223">
        <f>IF($B39="","",IF(ISNUMBER($H39)=FALSE,0,$D39*CalcElogP_Tbl($I39,$J39,$H39,$O$13:$X$13,$O$15:$X$24)*100))</f>
      </c>
      <c r="M39" s="183"/>
      <c r="N39" s="183"/>
      <c r="O39" s="183"/>
      <c r="P39" s="183"/>
      <c r="Q39" s="183"/>
      <c r="R39" s="183"/>
      <c r="S39" s="183"/>
      <c r="T39" s="183"/>
      <c r="U39" s="183"/>
      <c r="V39" s="183"/>
      <c r="W39" s="183"/>
      <c r="X39" s="183"/>
      <c r="Y39" s="183"/>
      <c r="Z39" s="221">
        <f t="shared" si="4"/>
      </c>
      <c r="AA39" s="222">
        <f t="shared" si="3"/>
      </c>
    </row>
    <row r="40" spans="2:27" ht="13.5">
      <c r="B40" s="429"/>
      <c r="C40" s="212"/>
      <c r="D40" s="356">
        <f t="shared" si="5"/>
      </c>
      <c r="E40" s="213"/>
      <c r="F40" s="213"/>
      <c r="G40" s="305"/>
      <c r="H40" s="307"/>
      <c r="I40" s="214">
        <f t="shared" si="0"/>
      </c>
      <c r="J40" s="215">
        <f t="shared" si="1"/>
      </c>
      <c r="K40" s="215">
        <f t="shared" si="6"/>
      </c>
      <c r="L40" s="223">
        <f>IF($B40="","",IF(ISNUMBER($H40)=FALSE,0,$D40*CalcElogP_Tbl($I40,$J40,$H40,$O$13:$X$13,$O$15:$X$24)*100))</f>
      </c>
      <c r="M40" s="183"/>
      <c r="N40" s="183"/>
      <c r="O40" s="183"/>
      <c r="P40" s="183"/>
      <c r="Q40" s="183"/>
      <c r="R40" s="183"/>
      <c r="S40" s="183"/>
      <c r="T40" s="183"/>
      <c r="U40" s="183"/>
      <c r="V40" s="183"/>
      <c r="W40" s="183"/>
      <c r="X40" s="183"/>
      <c r="Y40" s="183"/>
      <c r="Z40" s="221">
        <f t="shared" si="4"/>
      </c>
      <c r="AA40" s="222">
        <f t="shared" si="3"/>
      </c>
    </row>
    <row r="41" spans="2:27" ht="13.5">
      <c r="B41" s="429"/>
      <c r="C41" s="212"/>
      <c r="D41" s="356">
        <f t="shared" si="5"/>
      </c>
      <c r="E41" s="213"/>
      <c r="F41" s="213"/>
      <c r="G41" s="305"/>
      <c r="H41" s="307"/>
      <c r="I41" s="214">
        <f t="shared" si="0"/>
      </c>
      <c r="J41" s="215">
        <f t="shared" si="1"/>
      </c>
      <c r="K41" s="215">
        <f t="shared" si="6"/>
      </c>
      <c r="L41" s="223">
        <f>IF($B41="","",IF(ISNUMBER($H41)=FALSE,0,$D41*CalcElogP_Tbl($I41,$J41,$H41,$O$13:$X$13,$O$15:$X$24)*100))</f>
      </c>
      <c r="M41" s="183"/>
      <c r="N41" s="183"/>
      <c r="O41" s="183"/>
      <c r="P41" s="183"/>
      <c r="Q41" s="183"/>
      <c r="R41" s="183"/>
      <c r="S41" s="183"/>
      <c r="T41" s="183"/>
      <c r="U41" s="183"/>
      <c r="V41" s="183"/>
      <c r="W41" s="183"/>
      <c r="X41" s="183"/>
      <c r="Y41" s="183"/>
      <c r="Z41" s="221">
        <f t="shared" si="4"/>
      </c>
      <c r="AA41" s="222">
        <f t="shared" si="3"/>
      </c>
    </row>
    <row r="42" spans="2:27" ht="13.5">
      <c r="B42" s="429"/>
      <c r="C42" s="212"/>
      <c r="D42" s="356">
        <f t="shared" si="5"/>
      </c>
      <c r="E42" s="213"/>
      <c r="F42" s="213"/>
      <c r="G42" s="305"/>
      <c r="H42" s="307"/>
      <c r="I42" s="214">
        <f t="shared" si="0"/>
      </c>
      <c r="J42" s="215">
        <f t="shared" si="1"/>
      </c>
      <c r="K42" s="215">
        <f t="shared" si="6"/>
      </c>
      <c r="L42" s="223">
        <f>IF($B42="","",IF(ISNUMBER($H42)=FALSE,0,$D42*CalcElogP_Tbl($I42,$J42,$H42,$O$13:$X$13,$O$15:$X$24)*100))</f>
      </c>
      <c r="M42" s="183"/>
      <c r="N42" s="183"/>
      <c r="O42" s="183"/>
      <c r="P42" s="183"/>
      <c r="Q42" s="183"/>
      <c r="R42" s="183"/>
      <c r="S42" s="183"/>
      <c r="T42" s="183"/>
      <c r="U42" s="183"/>
      <c r="V42" s="183"/>
      <c r="W42" s="183"/>
      <c r="X42" s="183"/>
      <c r="Y42" s="183"/>
      <c r="Z42" s="221">
        <f t="shared" si="4"/>
      </c>
      <c r="AA42" s="222">
        <f t="shared" si="3"/>
      </c>
    </row>
    <row r="43" spans="2:27" ht="13.5">
      <c r="B43" s="429"/>
      <c r="C43" s="212"/>
      <c r="D43" s="356">
        <f t="shared" si="5"/>
      </c>
      <c r="E43" s="213"/>
      <c r="F43" s="213"/>
      <c r="G43" s="305"/>
      <c r="H43" s="307"/>
      <c r="I43" s="214">
        <f t="shared" si="0"/>
      </c>
      <c r="J43" s="215">
        <f t="shared" si="1"/>
      </c>
      <c r="K43" s="215">
        <f t="shared" si="6"/>
      </c>
      <c r="L43" s="223">
        <f>IF($B43="","",IF(ISNUMBER($H43)=FALSE,0,$D43*CalcElogP_Tbl($I43,$J43,$H43,$O$13:$X$13,$O$15:$X$24)*100))</f>
      </c>
      <c r="M43" s="183"/>
      <c r="N43" s="183"/>
      <c r="O43" s="183"/>
      <c r="P43" s="183"/>
      <c r="Q43" s="183"/>
      <c r="R43" s="183"/>
      <c r="S43" s="183"/>
      <c r="T43" s="183"/>
      <c r="U43" s="183"/>
      <c r="V43" s="183"/>
      <c r="W43" s="183"/>
      <c r="X43" s="183"/>
      <c r="Y43" s="183"/>
      <c r="Z43" s="221">
        <f t="shared" si="4"/>
      </c>
      <c r="AA43" s="222">
        <f t="shared" si="3"/>
      </c>
    </row>
    <row r="44" spans="2:27" ht="13.5">
      <c r="B44" s="429"/>
      <c r="C44" s="212"/>
      <c r="D44" s="356">
        <f t="shared" si="5"/>
      </c>
      <c r="E44" s="213"/>
      <c r="F44" s="213"/>
      <c r="G44" s="305"/>
      <c r="H44" s="307"/>
      <c r="I44" s="214">
        <f t="shared" si="0"/>
      </c>
      <c r="J44" s="215">
        <f t="shared" si="1"/>
      </c>
      <c r="K44" s="215">
        <f t="shared" si="6"/>
      </c>
      <c r="L44" s="223">
        <f>IF($B44="","",IF(ISNUMBER($H44)=FALSE,0,$D44*CalcElogP_Tbl($I44,$J44,$H44,$O$13:$X$13,$O$15:$X$24)*100))</f>
      </c>
      <c r="M44" s="183"/>
      <c r="N44" s="183"/>
      <c r="O44" s="183"/>
      <c r="P44" s="183"/>
      <c r="Q44" s="183"/>
      <c r="R44" s="183"/>
      <c r="S44" s="183"/>
      <c r="T44" s="183"/>
      <c r="U44" s="183"/>
      <c r="V44" s="183"/>
      <c r="W44" s="183"/>
      <c r="X44" s="183"/>
      <c r="Y44" s="183"/>
      <c r="Z44" s="221">
        <f t="shared" si="4"/>
      </c>
      <c r="AA44" s="222">
        <f t="shared" si="3"/>
      </c>
    </row>
    <row r="45" spans="2:27" ht="13.5">
      <c r="B45" s="429"/>
      <c r="C45" s="212"/>
      <c r="D45" s="356">
        <f t="shared" si="5"/>
      </c>
      <c r="E45" s="213"/>
      <c r="F45" s="213"/>
      <c r="G45" s="305"/>
      <c r="H45" s="307"/>
      <c r="I45" s="214">
        <f t="shared" si="0"/>
      </c>
      <c r="J45" s="215">
        <f t="shared" si="1"/>
      </c>
      <c r="K45" s="215">
        <f t="shared" si="6"/>
      </c>
      <c r="L45" s="223">
        <f>IF($B45="","",IF(ISNUMBER($H45)=FALSE,0,$D45*CalcElogP_Tbl($I45,$J45,$H45,$O$13:$X$13,$O$15:$X$24)*100))</f>
      </c>
      <c r="M45" s="183"/>
      <c r="N45" s="183"/>
      <c r="O45" s="183"/>
      <c r="P45" s="183"/>
      <c r="Q45" s="183"/>
      <c r="R45" s="183"/>
      <c r="S45" s="183"/>
      <c r="T45" s="183"/>
      <c r="U45" s="183"/>
      <c r="V45" s="183"/>
      <c r="W45" s="183"/>
      <c r="X45" s="183"/>
      <c r="Y45" s="183"/>
      <c r="Z45" s="221">
        <f t="shared" si="4"/>
      </c>
      <c r="AA45" s="222">
        <f t="shared" si="3"/>
      </c>
    </row>
    <row r="46" spans="2:27" ht="13.5">
      <c r="B46" s="429"/>
      <c r="C46" s="212"/>
      <c r="D46" s="356">
        <f t="shared" si="5"/>
      </c>
      <c r="E46" s="213"/>
      <c r="F46" s="213"/>
      <c r="G46" s="305"/>
      <c r="H46" s="307"/>
      <c r="I46" s="214">
        <f t="shared" si="0"/>
      </c>
      <c r="J46" s="215">
        <f t="shared" si="1"/>
      </c>
      <c r="K46" s="215">
        <f t="shared" si="6"/>
      </c>
      <c r="L46" s="223">
        <f>IF($B46="","",IF(ISNUMBER($H46)=FALSE,0,$D46*CalcElogP_Tbl($I46,$J46,$H46,$O$13:$X$13,$O$15:$X$24)*100))</f>
      </c>
      <c r="M46" s="183"/>
      <c r="N46" s="183"/>
      <c r="O46" s="183"/>
      <c r="P46" s="183"/>
      <c r="Q46" s="183"/>
      <c r="R46" s="183"/>
      <c r="S46" s="183"/>
      <c r="T46" s="183"/>
      <c r="U46" s="183"/>
      <c r="V46" s="183"/>
      <c r="W46" s="183"/>
      <c r="X46" s="183"/>
      <c r="Y46" s="183"/>
      <c r="Z46" s="221">
        <f t="shared" si="4"/>
      </c>
      <c r="AA46" s="222">
        <f t="shared" si="3"/>
      </c>
    </row>
    <row r="47" spans="2:27" ht="13.5">
      <c r="B47" s="429"/>
      <c r="C47" s="212"/>
      <c r="D47" s="356">
        <f t="shared" si="5"/>
      </c>
      <c r="E47" s="213"/>
      <c r="F47" s="213"/>
      <c r="G47" s="305"/>
      <c r="H47" s="307"/>
      <c r="I47" s="214">
        <f t="shared" si="0"/>
      </c>
      <c r="J47" s="215">
        <f t="shared" si="1"/>
      </c>
      <c r="K47" s="215">
        <f t="shared" si="6"/>
      </c>
      <c r="L47" s="223">
        <f>IF($B47="","",IF(ISNUMBER($H47)=FALSE,0,$D47*CalcElogP_Tbl($I47,$J47,$H47,$O$13:$X$13,$O$15:$X$24)*100))</f>
      </c>
      <c r="M47" s="183"/>
      <c r="N47" s="183"/>
      <c r="O47" s="183"/>
      <c r="P47" s="183"/>
      <c r="Q47" s="183"/>
      <c r="R47" s="183"/>
      <c r="S47" s="183"/>
      <c r="T47" s="183"/>
      <c r="U47" s="183"/>
      <c r="V47" s="183"/>
      <c r="W47" s="183"/>
      <c r="X47" s="183"/>
      <c r="Y47" s="183"/>
      <c r="Z47" s="221">
        <f t="shared" si="4"/>
      </c>
      <c r="AA47" s="222">
        <f t="shared" si="3"/>
      </c>
    </row>
    <row r="48" spans="2:27" ht="13.5">
      <c r="B48" s="429"/>
      <c r="C48" s="212"/>
      <c r="D48" s="356">
        <f t="shared" si="5"/>
      </c>
      <c r="E48" s="213"/>
      <c r="F48" s="213"/>
      <c r="G48" s="305"/>
      <c r="H48" s="307"/>
      <c r="I48" s="214">
        <f t="shared" si="0"/>
      </c>
      <c r="J48" s="215">
        <f t="shared" si="1"/>
      </c>
      <c r="K48" s="215">
        <f t="shared" si="6"/>
      </c>
      <c r="L48" s="223">
        <f>IF($B48="","",IF(ISNUMBER($H48)=FALSE,0,$D48*CalcElogP_Tbl($I48,$J48,$H48,$O$13:$X$13,$O$15:$X$24)*100))</f>
      </c>
      <c r="M48" s="183"/>
      <c r="N48" s="183"/>
      <c r="O48" s="183"/>
      <c r="P48" s="183"/>
      <c r="Q48" s="183"/>
      <c r="R48" s="183"/>
      <c r="S48" s="183"/>
      <c r="T48" s="183"/>
      <c r="U48" s="183"/>
      <c r="V48" s="183"/>
      <c r="W48" s="183"/>
      <c r="X48" s="183"/>
      <c r="Y48" s="183"/>
      <c r="Z48" s="221">
        <f t="shared" si="4"/>
      </c>
      <c r="AA48" s="222">
        <f t="shared" si="3"/>
      </c>
    </row>
    <row r="49" spans="2:27" ht="13.5">
      <c r="B49" s="429"/>
      <c r="C49" s="212"/>
      <c r="D49" s="356">
        <f t="shared" si="5"/>
      </c>
      <c r="E49" s="213"/>
      <c r="F49" s="213"/>
      <c r="G49" s="305"/>
      <c r="H49" s="307"/>
      <c r="I49" s="214">
        <f t="shared" si="0"/>
      </c>
      <c r="J49" s="215">
        <f t="shared" si="1"/>
      </c>
      <c r="K49" s="215">
        <f t="shared" si="6"/>
      </c>
      <c r="L49" s="223">
        <f>IF($B49="","",IF(ISNUMBER($H49)=FALSE,0,$D49*CalcElogP_Tbl($I49,$J49,$H49,$O$13:$X$13,$O$15:$X$24)*100))</f>
      </c>
      <c r="M49" s="183"/>
      <c r="N49" s="183"/>
      <c r="O49" s="183"/>
      <c r="P49" s="183"/>
      <c r="Q49" s="183"/>
      <c r="R49" s="183"/>
      <c r="S49" s="183"/>
      <c r="T49" s="183"/>
      <c r="U49" s="183"/>
      <c r="V49" s="183"/>
      <c r="W49" s="183"/>
      <c r="X49" s="183"/>
      <c r="Y49" s="183"/>
      <c r="Z49" s="221">
        <f t="shared" si="4"/>
      </c>
      <c r="AA49" s="222">
        <f t="shared" si="3"/>
      </c>
    </row>
    <row r="50" spans="2:27" ht="13.5">
      <c r="B50" s="429"/>
      <c r="C50" s="212"/>
      <c r="D50" s="356">
        <f t="shared" si="5"/>
      </c>
      <c r="E50" s="213"/>
      <c r="F50" s="213"/>
      <c r="G50" s="305"/>
      <c r="H50" s="307"/>
      <c r="I50" s="214">
        <f t="shared" si="0"/>
      </c>
      <c r="J50" s="215">
        <f t="shared" si="1"/>
      </c>
      <c r="K50" s="215">
        <f t="shared" si="6"/>
      </c>
      <c r="L50" s="223">
        <f>IF($B50="","",IF(ISNUMBER($H50)=FALSE,0,$D50*CalcElogP_Tbl($I50,$J50,$H50,$O$13:$X$13,$O$15:$X$24)*100))</f>
      </c>
      <c r="M50" s="183"/>
      <c r="N50" s="183"/>
      <c r="O50" s="183"/>
      <c r="P50" s="183"/>
      <c r="Q50" s="183"/>
      <c r="R50" s="183"/>
      <c r="S50" s="183"/>
      <c r="T50" s="183"/>
      <c r="U50" s="183"/>
      <c r="V50" s="183"/>
      <c r="W50" s="183"/>
      <c r="X50" s="183"/>
      <c r="Y50" s="183"/>
      <c r="Z50" s="221">
        <f t="shared" si="4"/>
      </c>
      <c r="AA50" s="222">
        <f t="shared" si="3"/>
      </c>
    </row>
    <row r="51" spans="2:27" ht="13.5">
      <c r="B51" s="429"/>
      <c r="C51" s="212"/>
      <c r="D51" s="356">
        <f t="shared" si="5"/>
      </c>
      <c r="E51" s="213"/>
      <c r="F51" s="213"/>
      <c r="G51" s="305"/>
      <c r="H51" s="307"/>
      <c r="I51" s="214">
        <f t="shared" si="0"/>
      </c>
      <c r="J51" s="215">
        <f t="shared" si="1"/>
      </c>
      <c r="K51" s="215">
        <f t="shared" si="6"/>
      </c>
      <c r="L51" s="223">
        <f>IF($B51="","",IF(ISNUMBER($H51)=FALSE,0,$D51*CalcElogP_Tbl($I51,$J51,$H51,$O$13:$X$13,$O$15:$X$24)*100))</f>
      </c>
      <c r="M51" s="183"/>
      <c r="N51" s="183"/>
      <c r="O51" s="183"/>
      <c r="P51" s="183"/>
      <c r="Q51" s="183"/>
      <c r="R51" s="183"/>
      <c r="S51" s="183"/>
      <c r="T51" s="183"/>
      <c r="U51" s="183"/>
      <c r="V51" s="183"/>
      <c r="W51" s="183"/>
      <c r="X51" s="183"/>
      <c r="Y51" s="183"/>
      <c r="Z51" s="221">
        <f t="shared" si="4"/>
      </c>
      <c r="AA51" s="222">
        <f t="shared" si="3"/>
      </c>
    </row>
    <row r="52" spans="2:27" ht="13.5">
      <c r="B52" s="429"/>
      <c r="C52" s="212"/>
      <c r="D52" s="356">
        <f t="shared" si="5"/>
      </c>
      <c r="E52" s="213"/>
      <c r="F52" s="213"/>
      <c r="G52" s="305"/>
      <c r="H52" s="307"/>
      <c r="I52" s="214">
        <f t="shared" si="0"/>
      </c>
      <c r="J52" s="215">
        <f t="shared" si="1"/>
      </c>
      <c r="K52" s="215">
        <f t="shared" si="6"/>
      </c>
      <c r="L52" s="223">
        <f>IF($B52="","",IF(ISNUMBER($H52)=FALSE,0,$D52*CalcElogP_Tbl($I52,$J52,$H52,$O$13:$X$13,$O$15:$X$24)*100))</f>
      </c>
      <c r="M52" s="183"/>
      <c r="N52" s="183"/>
      <c r="O52" s="183"/>
      <c r="P52" s="183"/>
      <c r="Q52" s="183"/>
      <c r="R52" s="183"/>
      <c r="S52" s="183"/>
      <c r="T52" s="183"/>
      <c r="U52" s="183"/>
      <c r="V52" s="183"/>
      <c r="W52" s="183"/>
      <c r="X52" s="183"/>
      <c r="Y52" s="183"/>
      <c r="Z52" s="221">
        <f t="shared" si="4"/>
      </c>
      <c r="AA52" s="222">
        <f t="shared" si="3"/>
      </c>
    </row>
    <row r="53" spans="2:27" ht="13.5">
      <c r="B53" s="429"/>
      <c r="C53" s="212"/>
      <c r="D53" s="356">
        <f t="shared" si="5"/>
      </c>
      <c r="E53" s="213"/>
      <c r="F53" s="213"/>
      <c r="G53" s="305"/>
      <c r="H53" s="307"/>
      <c r="I53" s="214">
        <f t="shared" si="0"/>
      </c>
      <c r="J53" s="215">
        <f t="shared" si="1"/>
      </c>
      <c r="K53" s="215">
        <f t="shared" si="6"/>
      </c>
      <c r="L53" s="223">
        <f>IF($B53="","",IF(ISNUMBER($H53)=FALSE,0,$D53*CalcElogP_Tbl($I53,$J53,$H53,$O$13:$X$13,$O$15:$X$24)*100))</f>
      </c>
      <c r="M53" s="183"/>
      <c r="N53" s="183"/>
      <c r="O53" s="183"/>
      <c r="P53" s="183"/>
      <c r="Q53" s="183"/>
      <c r="R53" s="183"/>
      <c r="S53" s="183"/>
      <c r="T53" s="183"/>
      <c r="U53" s="183"/>
      <c r="V53" s="183"/>
      <c r="W53" s="183"/>
      <c r="X53" s="183"/>
      <c r="Y53" s="183"/>
      <c r="Z53" s="221">
        <f t="shared" si="4"/>
      </c>
      <c r="AA53" s="222">
        <f t="shared" si="3"/>
      </c>
    </row>
    <row r="54" spans="2:27" ht="14.25" thickBot="1">
      <c r="B54" s="430"/>
      <c r="C54" s="232"/>
      <c r="D54" s="357">
        <f t="shared" si="5"/>
      </c>
      <c r="E54" s="233"/>
      <c r="F54" s="233"/>
      <c r="G54" s="306"/>
      <c r="H54" s="308"/>
      <c r="I54" s="234">
        <f t="shared" si="0"/>
      </c>
      <c r="J54" s="235">
        <f t="shared" si="1"/>
      </c>
      <c r="K54" s="235">
        <f t="shared" si="6"/>
      </c>
      <c r="L54" s="236">
        <f>IF($B54="","",IF(ISNUMBER($H54)=FALSE,0,$D54*CalcElogP_Tbl($I54,$J54,$H54,$O$13:$X$13,$O$15:$X$24)*100))</f>
      </c>
      <c r="M54" s="183"/>
      <c r="N54" s="183"/>
      <c r="O54" s="183"/>
      <c r="P54" s="183"/>
      <c r="Q54" s="183"/>
      <c r="R54" s="183"/>
      <c r="S54" s="183"/>
      <c r="T54" s="183"/>
      <c r="U54" s="183"/>
      <c r="V54" s="183"/>
      <c r="W54" s="183"/>
      <c r="X54" s="183"/>
      <c r="Y54" s="183"/>
      <c r="Z54" s="237">
        <f t="shared" si="4"/>
      </c>
      <c r="AA54" s="238">
        <f t="shared" si="3"/>
      </c>
    </row>
    <row r="55" spans="2:27" ht="13.5">
      <c r="B55" s="184"/>
      <c r="C55" s="184"/>
      <c r="D55" s="184"/>
      <c r="E55" s="184"/>
      <c r="F55" s="184"/>
      <c r="G55" s="184"/>
      <c r="H55" s="184"/>
      <c r="I55" s="188"/>
      <c r="J55" s="185"/>
      <c r="K55" s="185"/>
      <c r="M55" s="183"/>
      <c r="N55" s="183"/>
      <c r="O55" s="183"/>
      <c r="P55" s="183"/>
      <c r="Q55" s="183"/>
      <c r="R55" s="183"/>
      <c r="S55" s="183"/>
      <c r="T55" s="183"/>
      <c r="U55" s="183"/>
      <c r="V55" s="183"/>
      <c r="W55" s="183"/>
      <c r="X55" s="183"/>
      <c r="Y55" s="183"/>
      <c r="Z55" s="368"/>
      <c r="AA55" s="368"/>
    </row>
    <row r="56" spans="2:27" ht="14.25" thickBot="1">
      <c r="B56" s="375"/>
      <c r="C56" s="375"/>
      <c r="D56" s="375"/>
      <c r="E56" s="375"/>
      <c r="F56" s="375"/>
      <c r="G56" s="375"/>
      <c r="H56" s="375"/>
      <c r="I56" s="376"/>
      <c r="J56" s="377"/>
      <c r="K56" s="377"/>
      <c r="L56" s="378"/>
      <c r="M56" s="378"/>
      <c r="N56" s="378"/>
      <c r="O56" s="378"/>
      <c r="P56" s="378"/>
      <c r="Q56" s="378"/>
      <c r="R56" s="378"/>
      <c r="S56" s="378"/>
      <c r="T56" s="378"/>
      <c r="U56" s="378"/>
      <c r="V56" s="378"/>
      <c r="W56" s="378"/>
      <c r="X56" s="378"/>
      <c r="Y56" s="183"/>
      <c r="Z56" s="369"/>
      <c r="AA56" s="369"/>
    </row>
    <row r="57" spans="2:12" ht="13.5">
      <c r="B57" s="184"/>
      <c r="C57" s="184"/>
      <c r="D57" s="184"/>
      <c r="E57" s="184"/>
      <c r="F57" s="184"/>
      <c r="G57" s="184"/>
      <c r="H57" s="184"/>
      <c r="I57" s="185"/>
      <c r="J57" s="244"/>
      <c r="K57" s="244"/>
      <c r="L57" s="244"/>
    </row>
    <row r="58" spans="2:24" ht="13.5">
      <c r="B58" s="558">
        <v>2</v>
      </c>
      <c r="C58" s="558"/>
      <c r="D58" s="558"/>
      <c r="E58" s="558"/>
      <c r="F58" s="558"/>
      <c r="G58" s="558"/>
      <c r="H58" s="558"/>
      <c r="I58" s="558"/>
      <c r="J58" s="558"/>
      <c r="K58" s="558"/>
      <c r="L58" s="558"/>
      <c r="M58" s="558"/>
      <c r="N58" s="558"/>
      <c r="O58" s="558"/>
      <c r="P58" s="558"/>
      <c r="Q58" s="558"/>
      <c r="R58" s="558"/>
      <c r="S58" s="558"/>
      <c r="T58" s="558"/>
      <c r="U58" s="558"/>
      <c r="V58" s="558"/>
      <c r="W58" s="558"/>
      <c r="X58" s="558"/>
    </row>
    <row r="60" ht="13.5"/>
  </sheetData>
  <sheetProtection password="CA83" sheet="1" objects="1" scenarios="1" selectLockedCells="1"/>
  <mergeCells count="22">
    <mergeCell ref="Z2:AA2"/>
    <mergeCell ref="J5:L5"/>
    <mergeCell ref="B4:C4"/>
    <mergeCell ref="D4:F4"/>
    <mergeCell ref="B5:C5"/>
    <mergeCell ref="B6:C6"/>
    <mergeCell ref="D6:E6"/>
    <mergeCell ref="B2:X2"/>
    <mergeCell ref="B8:C8"/>
    <mergeCell ref="B7:C7"/>
    <mergeCell ref="D7:E7"/>
    <mergeCell ref="D8:E8"/>
    <mergeCell ref="D5:F5"/>
    <mergeCell ref="C11:C14"/>
    <mergeCell ref="B58:X58"/>
    <mergeCell ref="N11:X12"/>
    <mergeCell ref="O13:P13"/>
    <mergeCell ref="Q13:R13"/>
    <mergeCell ref="S13:T13"/>
    <mergeCell ref="U13:V13"/>
    <mergeCell ref="W13:X13"/>
    <mergeCell ref="B11:B14"/>
  </mergeCells>
  <conditionalFormatting sqref="I15:I54">
    <cfRule type="expression" priority="1" dxfId="0" stopIfTrue="1">
      <formula>$D$6&lt;=$B15</formula>
    </cfRule>
  </conditionalFormatting>
  <conditionalFormatting sqref="J15:J54">
    <cfRule type="expression" priority="2" dxfId="0" stopIfTrue="1">
      <formula>$D$7&lt;=$B15</formula>
    </cfRule>
  </conditionalFormatting>
  <dataValidations count="1">
    <dataValidation type="list" allowBlank="1" showInputMessage="1" showErrorMessage="1" sqref="C15:C54">
      <formula1>"表土,砂質土,粘性土,礫質土"</formula1>
    </dataValidation>
  </dataValidations>
  <printOptions horizontalCentered="1"/>
  <pageMargins left="0.5905511811023623" right="0.5905511811023623" top="1.1023622047244095" bottom="0.1968503937007874" header="0.7086614173228347" footer="0"/>
  <pageSetup horizontalDpi="600" verticalDpi="600" orientation="landscape" paperSize="8" r:id="rId4"/>
  <drawing r:id="rId3"/>
  <legacyDrawing r:id="rId2"/>
</worksheet>
</file>

<file path=xl/worksheets/sheet4.xml><?xml version="1.0" encoding="utf-8"?>
<worksheet xmlns="http://schemas.openxmlformats.org/spreadsheetml/2006/main" xmlns:r="http://schemas.openxmlformats.org/officeDocument/2006/relationships">
  <sheetPr codeName="Sheet5"/>
  <dimension ref="B1:AD57"/>
  <sheetViews>
    <sheetView zoomScale="70" zoomScaleNormal="70" zoomScalePageLayoutView="0" workbookViewId="0" topLeftCell="A1">
      <selection activeCell="A1" sqref="A1"/>
    </sheetView>
  </sheetViews>
  <sheetFormatPr defaultColWidth="9.140625" defaultRowHeight="15"/>
  <cols>
    <col min="1" max="1" width="5.140625" style="7" customWidth="1"/>
    <col min="2" max="2" width="6.140625" style="7" customWidth="1"/>
    <col min="3" max="4" width="6.57421875" style="7" customWidth="1"/>
    <col min="5" max="5" width="6.421875" style="7" customWidth="1"/>
    <col min="6" max="7" width="6.421875" style="150" customWidth="1"/>
    <col min="8" max="8" width="7.421875" style="7" customWidth="1"/>
    <col min="9" max="17" width="6.7109375" style="7" customWidth="1"/>
    <col min="18" max="18" width="7.421875" style="7" customWidth="1"/>
    <col min="19" max="20" width="9.00390625" style="7" customWidth="1"/>
    <col min="21" max="21" width="8.57421875" style="7" customWidth="1"/>
    <col min="22" max="22" width="5.421875" style="7" customWidth="1"/>
    <col min="23" max="24" width="9.00390625" style="7" customWidth="1"/>
    <col min="25" max="25" width="7.421875" style="7" customWidth="1"/>
    <col min="26" max="16384" width="9.00390625" style="7" customWidth="1"/>
  </cols>
  <sheetData>
    <row r="1" spans="3:17" ht="13.5">
      <c r="C1" s="1"/>
      <c r="D1" s="1"/>
      <c r="E1" s="1"/>
      <c r="F1" s="149"/>
      <c r="G1" s="149"/>
      <c r="H1" s="1"/>
      <c r="I1" s="1"/>
      <c r="J1" s="1"/>
      <c r="K1" s="1"/>
      <c r="L1" s="1"/>
      <c r="M1" s="1"/>
      <c r="N1" s="1"/>
      <c r="O1" s="1"/>
      <c r="P1" s="1"/>
      <c r="Q1" s="1"/>
    </row>
    <row r="2" spans="2:27" ht="14.25" customHeight="1">
      <c r="B2" s="589" t="s">
        <v>43</v>
      </c>
      <c r="C2" s="589"/>
      <c r="D2" s="589"/>
      <c r="E2" s="589"/>
      <c r="F2" s="589"/>
      <c r="G2" s="589"/>
      <c r="H2" s="589"/>
      <c r="I2" s="589"/>
      <c r="J2" s="589"/>
      <c r="K2" s="589"/>
      <c r="L2" s="589"/>
      <c r="M2" s="589"/>
      <c r="N2" s="589"/>
      <c r="O2" s="589"/>
      <c r="P2" s="589"/>
      <c r="Q2" s="589"/>
      <c r="R2" s="589"/>
      <c r="S2" s="589"/>
      <c r="T2" s="589"/>
      <c r="U2" s="589"/>
      <c r="V2" s="589"/>
      <c r="W2" s="589"/>
      <c r="X2" s="589"/>
      <c r="Y2" s="589"/>
      <c r="Z2" s="589"/>
      <c r="AA2" s="589"/>
    </row>
    <row r="3" spans="9:18" ht="14.25" thickBot="1">
      <c r="I3" s="183"/>
      <c r="J3" s="183"/>
      <c r="K3" s="183"/>
      <c r="L3" s="183"/>
      <c r="M3" s="183"/>
      <c r="N3" s="183"/>
      <c r="O3" s="183"/>
      <c r="P3" s="183"/>
      <c r="Q3" s="183"/>
      <c r="R3" s="183"/>
    </row>
    <row r="4" spans="3:28" ht="16.5" customHeight="1" thickTop="1">
      <c r="C4" s="591" t="str">
        <f>'地盤状態入力'!B5</f>
        <v>調査地点ID</v>
      </c>
      <c r="D4" s="591"/>
      <c r="E4" s="591" t="str">
        <f>'地盤状態入力'!D5</f>
        <v>○○地区</v>
      </c>
      <c r="F4" s="591"/>
      <c r="G4" s="591"/>
      <c r="I4" s="592" t="s">
        <v>199</v>
      </c>
      <c r="J4" s="593"/>
      <c r="K4" s="593"/>
      <c r="L4" s="594"/>
      <c r="M4" s="460"/>
      <c r="N4" s="581" t="s">
        <v>94</v>
      </c>
      <c r="O4" s="582"/>
      <c r="P4" s="582"/>
      <c r="Q4" s="582"/>
      <c r="R4" s="583"/>
      <c r="T4" s="581" t="s">
        <v>98</v>
      </c>
      <c r="U4" s="582"/>
      <c r="V4" s="583"/>
      <c r="AA4" s="18"/>
      <c r="AB4" s="18"/>
    </row>
    <row r="5" spans="3:27" ht="16.5" customHeight="1" thickBot="1">
      <c r="C5" s="599" t="str">
        <f>'地盤状態入力'!B6</f>
        <v>項目名</v>
      </c>
      <c r="D5" s="599"/>
      <c r="E5" s="599" t="str">
        <f>'地盤状態入力'!D6</f>
        <v>メモ等</v>
      </c>
      <c r="F5" s="599"/>
      <c r="G5" s="599"/>
      <c r="I5" s="462"/>
      <c r="J5" s="463" t="str">
        <f>'液状化抑制効果計算'!P11</f>
        <v>200gal, M9</v>
      </c>
      <c r="K5" s="464"/>
      <c r="L5" s="500">
        <f>SUM(J13:J53)</f>
        <v>7.793555002151294</v>
      </c>
      <c r="M5" s="461"/>
      <c r="N5" s="299"/>
      <c r="O5" s="245" t="str">
        <f>'液状化抑制効果計算'!P11</f>
        <v>200gal, M9</v>
      </c>
      <c r="P5" s="246"/>
      <c r="Q5" s="173">
        <f>'液状化抑制効果計算'!Y6</f>
        <v>8.011517369528214</v>
      </c>
      <c r="R5" s="247" t="s">
        <v>118</v>
      </c>
      <c r="T5" s="355" t="s">
        <v>160</v>
      </c>
      <c r="U5" s="302">
        <f>'圧密沈下量計算'!K6</f>
        <v>3.2073059597337013</v>
      </c>
      <c r="V5" s="303" t="s">
        <v>101</v>
      </c>
      <c r="AA5" s="18"/>
    </row>
    <row r="6" spans="3:27" ht="16.5" customHeight="1" thickTop="1">
      <c r="C6" s="600" t="str">
        <f>'地盤状態入力'!B7</f>
        <v>現状地下水位</v>
      </c>
      <c r="D6" s="601"/>
      <c r="E6" s="601">
        <f>'地盤状態入力'!D7</f>
        <v>1</v>
      </c>
      <c r="F6" s="601"/>
      <c r="G6" s="505" t="s">
        <v>11</v>
      </c>
      <c r="I6" s="465" t="s">
        <v>198</v>
      </c>
      <c r="J6" s="463" t="str">
        <f>'液状化抑制効果計算'!W11</f>
        <v>350gal, M7.5</v>
      </c>
      <c r="K6" s="464"/>
      <c r="L6" s="500">
        <f>SUM(M14:M53)</f>
        <v>18.32402634952551</v>
      </c>
      <c r="M6" s="461"/>
      <c r="N6" s="300" t="s">
        <v>95</v>
      </c>
      <c r="O6" s="245" t="str">
        <f>'液状化抑制効果計算'!W11</f>
        <v>350gal, M7.5</v>
      </c>
      <c r="P6" s="246"/>
      <c r="Q6" s="173">
        <f>'液状化抑制効果計算'!Y7</f>
        <v>12.51752350357884</v>
      </c>
      <c r="R6" s="247" t="s">
        <v>93</v>
      </c>
      <c r="T6" s="311" t="s">
        <v>100</v>
      </c>
      <c r="U6" s="312">
        <f>'圧密沈下量計算'!K7</f>
        <v>8.40072206148625</v>
      </c>
      <c r="V6" s="313" t="s">
        <v>119</v>
      </c>
      <c r="AA6" s="18"/>
    </row>
    <row r="7" spans="3:18" ht="16.5" customHeight="1" thickBot="1">
      <c r="C7" s="602" t="str">
        <f>'地盤状態入力'!B8</f>
        <v>低下後地下水位</v>
      </c>
      <c r="D7" s="603"/>
      <c r="E7" s="604">
        <f>'地盤状態入力'!D8</f>
        <v>3</v>
      </c>
      <c r="F7" s="604"/>
      <c r="G7" s="504" t="s">
        <v>11</v>
      </c>
      <c r="H7" s="1"/>
      <c r="I7" s="466"/>
      <c r="J7" s="467" t="str">
        <f>'液状化抑制効果計算'!AD11</f>
        <v>160gal, M9</v>
      </c>
      <c r="K7" s="468"/>
      <c r="L7" s="501">
        <f>SUM(P14:P53)</f>
        <v>2.3270785873795687</v>
      </c>
      <c r="M7" s="461"/>
      <c r="N7" s="301"/>
      <c r="O7" s="248" t="str">
        <f>'液状化抑制効果計算'!AD11</f>
        <v>160gal, M9</v>
      </c>
      <c r="P7" s="249"/>
      <c r="Q7" s="250">
        <f>'液状化抑制効果計算'!Y8</f>
        <v>3.8955950458981814</v>
      </c>
      <c r="R7" s="251" t="s">
        <v>93</v>
      </c>
    </row>
    <row r="8" spans="3:13" ht="12" customHeight="1" thickTop="1">
      <c r="C8" s="15"/>
      <c r="D8" s="15"/>
      <c r="E8" s="11"/>
      <c r="F8" s="151"/>
      <c r="G8" s="160"/>
      <c r="H8" s="108"/>
      <c r="I8" s="108"/>
      <c r="J8" s="108"/>
      <c r="K8" s="109"/>
      <c r="M8" s="109"/>
    </row>
    <row r="9" spans="3:7" ht="12" customHeight="1" thickBot="1">
      <c r="C9" s="15"/>
      <c r="D9" s="15"/>
      <c r="E9" s="11"/>
      <c r="F9" s="151"/>
      <c r="G9" s="160"/>
    </row>
    <row r="10" spans="3:17" ht="13.5" customHeight="1">
      <c r="C10" s="58"/>
      <c r="D10" s="577" t="s">
        <v>4</v>
      </c>
      <c r="E10" s="60"/>
      <c r="F10" s="152"/>
      <c r="G10" s="174"/>
      <c r="H10" s="110"/>
      <c r="I10" s="595" t="str">
        <f>$O$5</f>
        <v>200gal, M9</v>
      </c>
      <c r="J10" s="596"/>
      <c r="K10" s="598"/>
      <c r="L10" s="595" t="str">
        <f>$O$6</f>
        <v>350gal, M7.5</v>
      </c>
      <c r="M10" s="596"/>
      <c r="N10" s="598"/>
      <c r="O10" s="595" t="str">
        <f>$O$7</f>
        <v>160gal, M9</v>
      </c>
      <c r="P10" s="596"/>
      <c r="Q10" s="597"/>
    </row>
    <row r="11" spans="3:17" ht="12" customHeight="1">
      <c r="C11" s="551" t="s">
        <v>0</v>
      </c>
      <c r="D11" s="578"/>
      <c r="E11" s="65" t="s">
        <v>5</v>
      </c>
      <c r="F11" s="153"/>
      <c r="G11" s="175"/>
      <c r="H11" s="111" t="s">
        <v>66</v>
      </c>
      <c r="I11" s="71" t="s">
        <v>18</v>
      </c>
      <c r="J11" s="472" t="s">
        <v>193</v>
      </c>
      <c r="K11" s="73" t="s">
        <v>18</v>
      </c>
      <c r="L11" s="72" t="s">
        <v>18</v>
      </c>
      <c r="M11" s="90" t="s">
        <v>193</v>
      </c>
      <c r="N11" s="90" t="s">
        <v>18</v>
      </c>
      <c r="O11" s="71" t="s">
        <v>18</v>
      </c>
      <c r="P11" s="472" t="s">
        <v>193</v>
      </c>
      <c r="Q11" s="75" t="s">
        <v>18</v>
      </c>
    </row>
    <row r="12" spans="3:17" ht="12" customHeight="1">
      <c r="C12" s="551"/>
      <c r="D12" s="578"/>
      <c r="E12" s="65" t="s">
        <v>6</v>
      </c>
      <c r="F12" s="153" t="s">
        <v>13</v>
      </c>
      <c r="G12" s="175" t="s">
        <v>65</v>
      </c>
      <c r="H12" s="112" t="s">
        <v>68</v>
      </c>
      <c r="I12" s="71" t="s">
        <v>23</v>
      </c>
      <c r="J12" s="472" t="s">
        <v>194</v>
      </c>
      <c r="K12" s="73" t="s">
        <v>25</v>
      </c>
      <c r="L12" s="72" t="s">
        <v>23</v>
      </c>
      <c r="M12" s="90" t="s">
        <v>194</v>
      </c>
      <c r="N12" s="90" t="s">
        <v>25</v>
      </c>
      <c r="O12" s="71" t="s">
        <v>23</v>
      </c>
      <c r="P12" s="472" t="s">
        <v>194</v>
      </c>
      <c r="Q12" s="75" t="s">
        <v>25</v>
      </c>
    </row>
    <row r="13" spans="3:17" ht="13.5">
      <c r="C13" s="78" t="s">
        <v>2</v>
      </c>
      <c r="D13" s="579"/>
      <c r="E13" s="79" t="s">
        <v>10</v>
      </c>
      <c r="F13" s="154"/>
      <c r="G13" s="176" t="s">
        <v>62</v>
      </c>
      <c r="H13" s="113" t="s">
        <v>67</v>
      </c>
      <c r="I13" s="85" t="s">
        <v>24</v>
      </c>
      <c r="J13" s="473" t="s">
        <v>196</v>
      </c>
      <c r="K13" s="87" t="s">
        <v>26</v>
      </c>
      <c r="L13" s="86" t="s">
        <v>24</v>
      </c>
      <c r="M13" s="91" t="s">
        <v>196</v>
      </c>
      <c r="N13" s="91" t="s">
        <v>26</v>
      </c>
      <c r="O13" s="85" t="s">
        <v>24</v>
      </c>
      <c r="P13" s="473" t="s">
        <v>196</v>
      </c>
      <c r="Q13" s="89" t="s">
        <v>26</v>
      </c>
    </row>
    <row r="14" spans="3:17" ht="13.5">
      <c r="C14" s="114">
        <f>'地盤状態入力'!B16</f>
        <v>0.5</v>
      </c>
      <c r="D14" s="115" t="s">
        <v>125</v>
      </c>
      <c r="E14" s="116">
        <f>IF('地盤状態入力'!D16="","",'地盤状態入力'!D16)</f>
        <v>66</v>
      </c>
      <c r="F14" s="177">
        <f>IF('地盤状態入力'!E16="","",'地盤状態入力'!E16)</f>
        <v>2</v>
      </c>
      <c r="G14" s="178">
        <f>IF('地盤状態入力'!G16="","",'地盤状態入力'!G16)</f>
        <v>100</v>
      </c>
      <c r="H14" s="100">
        <f>IF('液状化抑制効果計算'!H15="","",'液状化抑制効果計算'!H15)</f>
      </c>
      <c r="I14" s="27">
        <f>IF('液状化抑制効果計算'!R15="","",IF('液状化抑制効果計算'!R15&lt;=2,'液状化抑制効果計算'!R15,"2以上"))</f>
      </c>
      <c r="J14" s="474">
        <f>'液状化抑制効果計算'!S15</f>
      </c>
      <c r="K14" s="29">
        <f>'液状化抑制効果計算'!T15</f>
      </c>
      <c r="L14" s="28">
        <f>IF('液状化抑制効果計算'!Y15="","",IF('液状化抑制効果計算'!Y15&lt;=2,'液状化抑制効果計算'!Y15,"2以上"))</f>
      </c>
      <c r="M14" s="102">
        <f>'液状化抑制効果計算'!Z15</f>
      </c>
      <c r="N14" s="92">
        <f>'液状化抑制効果計算'!AA15</f>
      </c>
      <c r="O14" s="27">
        <f>IF('液状化抑制効果計算'!AF15="","",IF('液状化抑制効果計算'!AF15&lt;=2,'液状化抑制効果計算'!AF15,"2以上"))</f>
      </c>
      <c r="P14" s="474">
        <f>'液状化抑制効果計算'!AG15</f>
      </c>
      <c r="Q14" s="31">
        <f>'液状化抑制効果計算'!$AH15</f>
      </c>
    </row>
    <row r="15" spans="3:17" ht="13.5">
      <c r="C15" s="114">
        <f>'地盤状態入力'!B17</f>
        <v>1</v>
      </c>
      <c r="D15" s="115" t="str">
        <f>IF('地盤状態入力'!C17="","",'地盤状態入力'!C17)</f>
        <v>表土</v>
      </c>
      <c r="E15" s="116">
        <f>IF('地盤状態入力'!D17="","",'地盤状態入力'!D17)</f>
        <v>66</v>
      </c>
      <c r="F15" s="177">
        <f>IF('地盤状態入力'!E17="","",'地盤状態入力'!E17)</f>
        <v>2</v>
      </c>
      <c r="G15" s="178">
        <f>IF('地盤状態入力'!G17="","",'地盤状態入力'!G17)</f>
        <v>100</v>
      </c>
      <c r="H15" s="100">
        <f>IF('液状化抑制効果計算'!H16="","",'液状化抑制効果計算'!H16)</f>
      </c>
      <c r="I15" s="27">
        <f>IF('液状化抑制効果計算'!R16="","",IF('液状化抑制効果計算'!R16&lt;=2,'液状化抑制効果計算'!R16,"2以上"))</f>
      </c>
      <c r="J15" s="474">
        <f>'液状化抑制効果計算'!S16</f>
      </c>
      <c r="K15" s="29">
        <f>'液状化抑制効果計算'!T16</f>
      </c>
      <c r="L15" s="28">
        <f>IF('液状化抑制効果計算'!Y16="","",IF('液状化抑制効果計算'!Y16&lt;=2,'液状化抑制効果計算'!Y16,"2以上"))</f>
      </c>
      <c r="M15" s="102">
        <f>'液状化抑制効果計算'!Z16</f>
      </c>
      <c r="N15" s="92">
        <f>'液状化抑制効果計算'!AA16</f>
      </c>
      <c r="O15" s="27">
        <f>IF('液状化抑制効果計算'!AF16="","",IF('液状化抑制効果計算'!AF16&lt;=2,'液状化抑制効果計算'!AF16,"2以上"))</f>
      </c>
      <c r="P15" s="474">
        <f>'液状化抑制効果計算'!AG16</f>
      </c>
      <c r="Q15" s="31">
        <f>'液状化抑制効果計算'!$AH16</f>
      </c>
    </row>
    <row r="16" spans="3:17" ht="13.5">
      <c r="C16" s="114">
        <f>'地盤状態入力'!B18</f>
        <v>1.5</v>
      </c>
      <c r="D16" s="115" t="str">
        <f>IF('地盤状態入力'!C18="","",'地盤状態入力'!C18)</f>
        <v>砂質土</v>
      </c>
      <c r="E16" s="116">
        <f>IF('地盤状態入力'!D18="","",'地盤状態入力'!D18)</f>
        <v>21</v>
      </c>
      <c r="F16" s="177">
        <f>IF('地盤状態入力'!E18="","",'地盤状態入力'!E18)</f>
        <v>4</v>
      </c>
      <c r="G16" s="178">
        <f>IF('地盤状態入力'!G18="","",'地盤状態入力'!G18)</f>
        <v>100</v>
      </c>
      <c r="H16" s="100">
        <f>IF('液状化抑制効果計算'!H17="","",'液状化抑制効果計算'!H17)</f>
      </c>
      <c r="I16" s="27">
        <f>IF('液状化抑制効果計算'!R17="","",IF('液状化抑制効果計算'!R17&lt;=2,'液状化抑制効果計算'!R17,"2以上"))</f>
      </c>
      <c r="J16" s="474">
        <f>'液状化抑制効果計算'!S17</f>
      </c>
      <c r="K16" s="29">
        <f>'液状化抑制効果計算'!T17</f>
      </c>
      <c r="L16" s="28">
        <f>IF('液状化抑制効果計算'!Y17="","",IF('液状化抑制効果計算'!Y17&lt;=2,'液状化抑制効果計算'!Y17,"2以上"))</f>
      </c>
      <c r="M16" s="102">
        <f>'液状化抑制効果計算'!Z17</f>
      </c>
      <c r="N16" s="92">
        <f>'液状化抑制効果計算'!AA17</f>
      </c>
      <c r="O16" s="27">
        <f>IF('液状化抑制効果計算'!AF17="","",IF('液状化抑制効果計算'!AF17&lt;=2,'液状化抑制効果計算'!AF17,"2以上"))</f>
      </c>
      <c r="P16" s="474">
        <f>'液状化抑制効果計算'!AG17</f>
      </c>
      <c r="Q16" s="31">
        <f>'液状化抑制効果計算'!$AH17</f>
      </c>
    </row>
    <row r="17" spans="3:17" ht="13.5">
      <c r="C17" s="114">
        <f>'地盤状態入力'!B19</f>
        <v>2</v>
      </c>
      <c r="D17" s="115" t="str">
        <f>IF('地盤状態入力'!C19="","",'地盤状態入力'!C19)</f>
        <v>砂質土</v>
      </c>
      <c r="E17" s="116">
        <f>IF('地盤状態入力'!D19="","",'地盤状態入力'!D19)</f>
        <v>21</v>
      </c>
      <c r="F17" s="177">
        <f>IF('地盤状態入力'!E19="","",'地盤状態入力'!E19)</f>
        <v>5</v>
      </c>
      <c r="G17" s="178">
        <f>IF('地盤状態入力'!G19="","",'地盤状態入力'!G19)</f>
        <v>100</v>
      </c>
      <c r="H17" s="100">
        <f>IF('液状化抑制効果計算'!H18="","",'液状化抑制効果計算'!H18)</f>
      </c>
      <c r="I17" s="27">
        <f>IF('液状化抑制効果計算'!R18="","",IF('液状化抑制効果計算'!R18&lt;=2,'液状化抑制効果計算'!R18,"2以上"))</f>
      </c>
      <c r="J17" s="474">
        <f>'液状化抑制効果計算'!S18</f>
      </c>
      <c r="K17" s="29">
        <f>'液状化抑制効果計算'!T18</f>
      </c>
      <c r="L17" s="28">
        <f>IF('液状化抑制効果計算'!Y18="","",IF('液状化抑制効果計算'!Y18&lt;=2,'液状化抑制効果計算'!Y18,"2以上"))</f>
      </c>
      <c r="M17" s="102">
        <f>'液状化抑制効果計算'!Z18</f>
      </c>
      <c r="N17" s="92">
        <f>'液状化抑制効果計算'!AA18</f>
      </c>
      <c r="O17" s="27">
        <f>IF('液状化抑制効果計算'!AF18="","",IF('液状化抑制効果計算'!AF18&lt;=2,'液状化抑制効果計算'!AF18,"2以上"))</f>
      </c>
      <c r="P17" s="474">
        <f>'液状化抑制効果計算'!AG18</f>
      </c>
      <c r="Q17" s="31">
        <f>'液状化抑制効果計算'!$AH18</f>
      </c>
    </row>
    <row r="18" spans="3:17" ht="13.5">
      <c r="C18" s="117">
        <f>'地盤状態入力'!B20</f>
        <v>2.5</v>
      </c>
      <c r="D18" s="118" t="str">
        <f>IF('地盤状態入力'!C20="","",'地盤状態入力'!C20)</f>
        <v>砂質土</v>
      </c>
      <c r="E18" s="119">
        <f>IF('地盤状態入力'!D20="","",'地盤状態入力'!D20)</f>
        <v>21</v>
      </c>
      <c r="F18" s="179">
        <f>IF('地盤状態入力'!E20="","",'地盤状態入力'!E20)</f>
        <v>5</v>
      </c>
      <c r="G18" s="178">
        <f>IF('地盤状態入力'!G20="","",'地盤状態入力'!G20)</f>
        <v>100</v>
      </c>
      <c r="H18" s="102">
        <f>IF('液状化抑制効果計算'!H19="","",'液状化抑制効果計算'!H19)</f>
      </c>
      <c r="I18" s="120">
        <f>IF('液状化抑制効果計算'!R19="","",IF('液状化抑制効果計算'!R19&lt;=2,'液状化抑制効果計算'!R19,"2以上"))</f>
      </c>
      <c r="J18" s="474">
        <f>'液状化抑制効果計算'!S19</f>
      </c>
      <c r="K18" s="32">
        <f>'液状化抑制効果計算'!T19</f>
      </c>
      <c r="L18" s="101">
        <f>IF('液状化抑制効果計算'!Y19="","",IF('液状化抑制効果計算'!Y19&lt;=2,'液状化抑制効果計算'!Y19,"2以上"))</f>
      </c>
      <c r="M18" s="102">
        <f>'液状化抑制効果計算'!Z19</f>
      </c>
      <c r="N18" s="93">
        <f>'液状化抑制効果計算'!AA19</f>
      </c>
      <c r="O18" s="120">
        <f>IF('液状化抑制効果計算'!AF19="","",IF('液状化抑制効果計算'!AF19&lt;=2,'液状化抑制効果計算'!AF19,"2以上"))</f>
      </c>
      <c r="P18" s="474">
        <f>'液状化抑制効果計算'!AG19</f>
      </c>
      <c r="Q18" s="33">
        <f>'液状化抑制効果計算'!$AH19</f>
      </c>
    </row>
    <row r="19" spans="3:17" ht="13.5">
      <c r="C19" s="117">
        <f>'地盤状態入力'!B21</f>
        <v>3</v>
      </c>
      <c r="D19" s="118" t="str">
        <f>IF('地盤状態入力'!C21="","",'地盤状態入力'!C21)</f>
        <v>砂質土</v>
      </c>
      <c r="E19" s="119">
        <f>IF('地盤状態入力'!D21="","",'地盤状態入力'!D21)</f>
        <v>21</v>
      </c>
      <c r="F19" s="179">
        <f>IF('地盤状態入力'!E21="","",'地盤状態入力'!E21)</f>
        <v>5</v>
      </c>
      <c r="G19" s="178">
        <f>IF('地盤状態入力'!G21="","",'地盤状態入力'!G21)</f>
        <v>100</v>
      </c>
      <c r="H19" s="102">
        <f>IF('液状化抑制効果計算'!H20="","",'液状化抑制効果計算'!H20)</f>
      </c>
      <c r="I19" s="120">
        <f>IF('液状化抑制効果計算'!R20="","",IF('液状化抑制効果計算'!R20&lt;=2,'液状化抑制効果計算'!R20,"2以上"))</f>
      </c>
      <c r="J19" s="474">
        <f>'液状化抑制効果計算'!S20</f>
      </c>
      <c r="K19" s="32">
        <f>'液状化抑制効果計算'!T20</f>
      </c>
      <c r="L19" s="101">
        <f>IF('液状化抑制効果計算'!Y20="","",IF('液状化抑制効果計算'!Y20&lt;=2,'液状化抑制効果計算'!Y20,"2以上"))</f>
      </c>
      <c r="M19" s="102">
        <f>'液状化抑制効果計算'!Z20</f>
      </c>
      <c r="N19" s="93">
        <f>'液状化抑制効果計算'!AA20</f>
      </c>
      <c r="O19" s="120">
        <f>IF('液状化抑制効果計算'!AF20="","",IF('液状化抑制効果計算'!AF20&lt;=2,'液状化抑制効果計算'!AF20,"2以上"))</f>
      </c>
      <c r="P19" s="474">
        <f>'液状化抑制効果計算'!AG20</f>
      </c>
      <c r="Q19" s="33">
        <f>'液状化抑制効果計算'!$AH20</f>
      </c>
    </row>
    <row r="20" spans="3:17" ht="13.5">
      <c r="C20" s="117">
        <f>'地盤状態入力'!B22</f>
        <v>3.5</v>
      </c>
      <c r="D20" s="118" t="str">
        <f>IF('地盤状態入力'!C22="","",'地盤状態入力'!C22)</f>
        <v>砂質土</v>
      </c>
      <c r="E20" s="119">
        <f>IF('地盤状態入力'!D22="","",'地盤状態入力'!D22)</f>
        <v>21</v>
      </c>
      <c r="F20" s="179">
        <f>IF('地盤状態入力'!E22="","",'地盤状態入力'!E22)</f>
        <v>5</v>
      </c>
      <c r="G20" s="178">
        <f>IF('地盤状態入力'!G22="","",'地盤状態入力'!G22)</f>
        <v>95</v>
      </c>
      <c r="H20" s="102" t="str">
        <f>IF('液状化抑制効果計算'!H21="","",'液状化抑制効果計算'!H21)</f>
        <v>有</v>
      </c>
      <c r="I20" s="120">
        <f>IF('液状化抑制効果計算'!R21="","",IF('液状化抑制効果計算'!R21&lt;=2,'液状化抑制効果計算'!R21,"2以上"))</f>
        <v>1.6507323285369546</v>
      </c>
      <c r="J20" s="474">
        <f>'液状化抑制効果計算'!S21</f>
      </c>
      <c r="K20" s="32">
        <f>'液状化抑制効果計算'!T21</f>
      </c>
      <c r="L20" s="101">
        <f>IF('液状化抑制効果計算'!Y21="","",IF('液状化抑制効果計算'!Y21&lt;=2,'液状化抑制効果計算'!Y21,"2以上"))</f>
        <v>1.1609546046853305</v>
      </c>
      <c r="M20" s="102">
        <f>'液状化抑制効果計算'!Z21</f>
      </c>
      <c r="N20" s="93">
        <f>'液状化抑制効果計算'!AA21</f>
      </c>
      <c r="O20" s="120" t="str">
        <f>IF('液状化抑制効果計算'!AF21="","",IF('液状化抑制効果計算'!AF21&lt;=2,'液状化抑制効果計算'!AF21,"2以上"))</f>
        <v>2以上</v>
      </c>
      <c r="P20" s="474">
        <f>'液状化抑制効果計算'!AG21</f>
      </c>
      <c r="Q20" s="33">
        <f>'液状化抑制効果計算'!$AH21</f>
      </c>
    </row>
    <row r="21" spans="3:17" ht="13.5">
      <c r="C21" s="117">
        <f>'地盤状態入力'!B23</f>
        <v>4</v>
      </c>
      <c r="D21" s="118" t="str">
        <f>IF('地盤状態入力'!C23="","",'地盤状態入力'!C23)</f>
        <v>砂質土</v>
      </c>
      <c r="E21" s="119">
        <f>IF('地盤状態入力'!D23="","",'地盤状態入力'!D23)</f>
        <v>21</v>
      </c>
      <c r="F21" s="179">
        <f>IF('地盤状態入力'!E23="","",'地盤状態入力'!E23)</f>
        <v>5</v>
      </c>
      <c r="G21" s="178">
        <f>IF('地盤状態入力'!G23="","",'地盤状態入力'!G23)</f>
        <v>95</v>
      </c>
      <c r="H21" s="102" t="str">
        <f>IF('液状化抑制効果計算'!H22="","",'液状化抑制効果計算'!H22)</f>
        <v>有</v>
      </c>
      <c r="I21" s="120">
        <f>IF('液状化抑制効果計算'!R22="","",IF('液状化抑制効果計算'!R22&lt;=2,'液状化抑制効果計算'!R22,"2以上"))</f>
        <v>1.5029953845847144</v>
      </c>
      <c r="J21" s="474">
        <f>'液状化抑制効果計算'!S22</f>
      </c>
      <c r="K21" s="32">
        <f>'液状化抑制効果計算'!T22</f>
      </c>
      <c r="L21" s="101">
        <f>IF('液状化抑制効果計算'!Y22="","",IF('液状化抑制効果計算'!Y22&lt;=2,'液状化抑制効果計算'!Y22,"2以上"))</f>
        <v>1.0570516990485903</v>
      </c>
      <c r="M21" s="102">
        <f>'液状化抑制効果計算'!Z22</f>
      </c>
      <c r="N21" s="93">
        <f>'液状化抑制効果計算'!AA22</f>
      </c>
      <c r="O21" s="120">
        <f>IF('液状化抑制効果計算'!AF22="","",IF('液状化抑制効果計算'!AF22&lt;=2,'液状化抑制効果計算'!AF22,"2以上"))</f>
        <v>1.8787442307308937</v>
      </c>
      <c r="P21" s="474">
        <f>'液状化抑制効果計算'!AG22</f>
      </c>
      <c r="Q21" s="33">
        <f>'液状化抑制効果計算'!$AH22</f>
      </c>
    </row>
    <row r="22" spans="3:17" ht="13.5">
      <c r="C22" s="114">
        <f>'地盤状態入力'!B24</f>
        <v>4.5</v>
      </c>
      <c r="D22" s="115" t="str">
        <f>IF('地盤状態入力'!C24="","",'地盤状態入力'!C24)</f>
        <v>砂質土</v>
      </c>
      <c r="E22" s="116">
        <f>IF('地盤状態入力'!D24="","",'地盤状態入力'!D24)</f>
        <v>21</v>
      </c>
      <c r="F22" s="177">
        <f>IF('地盤状態入力'!E24="","",'地盤状態入力'!E24)</f>
        <v>6</v>
      </c>
      <c r="G22" s="178">
        <f>IF('地盤状態入力'!G24="","",'地盤状態入力'!G24)</f>
        <v>100</v>
      </c>
      <c r="H22" s="100">
        <f>IF('液状化抑制効果計算'!H23="","",'液状化抑制効果計算'!H23)</f>
      </c>
      <c r="I22" s="27">
        <f>IF('液状化抑制効果計算'!R23="","",IF('液状化抑制効果計算'!R23&lt;=2,'液状化抑制効果計算'!R23,"2以上"))</f>
        <v>1.0325113995307666</v>
      </c>
      <c r="J22" s="474">
        <f>'液状化抑制効果計算'!S23</f>
      </c>
      <c r="K22" s="29">
        <f>'液状化抑制効果計算'!T23</f>
      </c>
      <c r="L22" s="28">
        <f>IF('液状化抑制効果計算'!Y23="","",IF('液状化抑制効果計算'!Y23&lt;=2,'液状化抑制効果計算'!Y23,"2以上"))</f>
        <v>0.7261618634062534</v>
      </c>
      <c r="M22" s="102">
        <f>'液状化抑制効果計算'!Z23</f>
        <v>1.061122779300768</v>
      </c>
      <c r="N22" s="92" t="str">
        <f>'液状化抑制効果計算'!AA23</f>
        <v>×</v>
      </c>
      <c r="O22" s="27">
        <f>IF('液状化抑制効果計算'!AF23="","",IF('液状化抑制効果計算'!AF23&lt;=2,'液状化抑制効果計算'!AF23,"2以上"))</f>
        <v>1.2906392494134584</v>
      </c>
      <c r="P22" s="474">
        <f>'液状化抑制効果計算'!AG23</f>
      </c>
      <c r="Q22" s="31">
        <f>'液状化抑制効果計算'!$AH23</f>
      </c>
    </row>
    <row r="23" spans="3:17" ht="13.5">
      <c r="C23" s="252">
        <f>'地盤状態入力'!B25</f>
        <v>5</v>
      </c>
      <c r="D23" s="253" t="str">
        <f>IF('地盤状態入力'!C25="","",'地盤状態入力'!C25)</f>
        <v>砂質土</v>
      </c>
      <c r="E23" s="254">
        <f>IF('地盤状態入力'!D25="","",'地盤状態入力'!D25)</f>
        <v>21</v>
      </c>
      <c r="F23" s="255">
        <f>IF('地盤状態入力'!E25="","",'地盤状態入力'!E25)</f>
        <v>6</v>
      </c>
      <c r="G23" s="256">
        <f>IF('地盤状態入力'!G25="","",'地盤状態入力'!G25)</f>
        <v>100</v>
      </c>
      <c r="H23" s="257">
        <f>IF('液状化抑制効果計算'!H24="","",'液状化抑制効果計算'!H24)</f>
      </c>
      <c r="I23" s="258">
        <f>IF('液状化抑制効果計算'!R24="","",IF('液状化抑制効果計算'!R24&lt;=2,'液状化抑制効果計算'!R24,"2以上"))</f>
        <v>0.9605620427234411</v>
      </c>
      <c r="J23" s="455">
        <f>'液状化抑制効果計算'!S24</f>
        <v>0.1478923397870957</v>
      </c>
      <c r="K23" s="259" t="str">
        <f>'液状化抑制効果計算'!T24</f>
        <v>×</v>
      </c>
      <c r="L23" s="260">
        <f>IF('液状化抑制効果計算'!Y24="","",IF('液状化抑制効果計算'!Y24&lt;=2,'液状化抑制効果計算'!Y24,"2以上"))</f>
        <v>0.6755601179593431</v>
      </c>
      <c r="M23" s="455">
        <f>'液状化抑制効果計算'!Z24</f>
        <v>1.2166495576524632</v>
      </c>
      <c r="N23" s="261" t="str">
        <f>'液状化抑制効果計算'!AA24</f>
        <v>×</v>
      </c>
      <c r="O23" s="258">
        <f>IF('液状化抑制効果計算'!AF24="","",IF('液状化抑制効果計算'!AF24&lt;=2,'液状化抑制効果計算'!AF24,"2以上"))</f>
        <v>1.2007025534043017</v>
      </c>
      <c r="P23" s="455">
        <f>'液状化抑制効果計算'!AG24</f>
      </c>
      <c r="Q23" s="262">
        <f>'液状化抑制効果計算'!$AH24</f>
      </c>
    </row>
    <row r="24" spans="3:17" ht="13.5">
      <c r="C24" s="114">
        <f>'地盤状態入力'!B26</f>
        <v>5.5</v>
      </c>
      <c r="D24" s="115" t="str">
        <f>IF('地盤状態入力'!C26="","",'地盤状態入力'!C26)</f>
        <v>砂質土</v>
      </c>
      <c r="E24" s="116">
        <f>IF('地盤状態入力'!D26="","",'地盤状態入力'!D26)</f>
        <v>21</v>
      </c>
      <c r="F24" s="177">
        <f>IF('地盤状態入力'!E26="","",'地盤状態入力'!E26)</f>
        <v>6</v>
      </c>
      <c r="G24" s="178">
        <f>IF('地盤状態入力'!G26="","",'地盤状態入力'!G26)</f>
        <v>100</v>
      </c>
      <c r="H24" s="100">
        <f>IF('液状化抑制効果計算'!H25="","",'液状化抑制効果計算'!H25)</f>
      </c>
      <c r="I24" s="27">
        <f>IF('液状化抑制効果計算'!R25="","",IF('液状化抑制効果計算'!R25&lt;=2,'液状化抑制効果計算'!R25,"2以上"))</f>
        <v>0.9041767233946835</v>
      </c>
      <c r="J24" s="474">
        <f>'液状化抑制効果計算'!S25</f>
        <v>0.34735937769427244</v>
      </c>
      <c r="K24" s="29" t="str">
        <f>'液状化抑制効果計算'!T25</f>
        <v>×</v>
      </c>
      <c r="L24" s="28">
        <f>IF('液状化抑制効果計算'!Y25="","",IF('液状化抑制効果計算'!Y25&lt;=2,'液状化抑制効果計算'!Y25,"2以上"))</f>
        <v>0.6359045087610962</v>
      </c>
      <c r="M24" s="102">
        <f>'液状化抑制効果計算'!Z25</f>
        <v>1.3198461557410264</v>
      </c>
      <c r="N24" s="92" t="str">
        <f>'液状化抑制効果計算'!AA25</f>
        <v>×</v>
      </c>
      <c r="O24" s="27">
        <f>IF('液状化抑制効果計算'!AF25="","",IF('液状化抑制効果計算'!AF25&lt;=2,'液状化抑制効果計算'!AF25,"2以上"))</f>
        <v>1.1302209042433546</v>
      </c>
      <c r="P24" s="474">
        <f>'液状化抑制効果計算'!AG25</f>
      </c>
      <c r="Q24" s="31">
        <f>'液状化抑制効果計算'!$AH25</f>
      </c>
    </row>
    <row r="25" spans="3:30" ht="13.5">
      <c r="C25" s="114">
        <f>'地盤状態入力'!B27</f>
        <v>6</v>
      </c>
      <c r="D25" s="115" t="str">
        <f>IF('地盤状態入力'!C27="","",'地盤状態入力'!C27)</f>
        <v>砂質土</v>
      </c>
      <c r="E25" s="116">
        <f>IF('地盤状態入力'!D27="","",'地盤状態入力'!D27)</f>
        <v>21</v>
      </c>
      <c r="F25" s="177">
        <f>IF('地盤状態入力'!E27="","",'地盤状態入力'!E27)</f>
        <v>6</v>
      </c>
      <c r="G25" s="178">
        <f>IF('地盤状態入力'!G27="","",'地盤状態入力'!G27)</f>
        <v>100</v>
      </c>
      <c r="H25" s="100">
        <f>IF('液状化抑制効果計算'!H26="","",'液状化抑制効果計算'!H26)</f>
      </c>
      <c r="I25" s="27">
        <f>IF('液状化抑制効果計算'!R26="","",IF('液状化抑制効果計算'!R26&lt;=2,'液状化抑制効果計算'!R26,"2以上"))</f>
        <v>0.8590359564222871</v>
      </c>
      <c r="J25" s="474">
        <f>'液状化抑制効果計算'!S26</f>
        <v>0.493374152521995</v>
      </c>
      <c r="K25" s="29" t="str">
        <f>'液状化抑制効果計算'!T26</f>
        <v>×</v>
      </c>
      <c r="L25" s="28">
        <f>IF('液状化抑制効果計算'!Y26="","",IF('液状化抑制効果計算'!Y26&lt;=2,'液状化抑制効果計算'!Y26,"2以上"))</f>
        <v>0.604157156165125</v>
      </c>
      <c r="M25" s="102">
        <f>'液状化抑制効果計算'!Z26</f>
        <v>1.3854499534220626</v>
      </c>
      <c r="N25" s="92" t="str">
        <f>'液状化抑制効果計算'!AA26</f>
        <v>×</v>
      </c>
      <c r="O25" s="27">
        <f>IF('液状化抑制効果計算'!AF26="","",IF('液状化抑制効果計算'!AF26&lt;=2,'液状化抑制効果計算'!AF26,"2以上"))</f>
        <v>1.073794945527859</v>
      </c>
      <c r="P25" s="474">
        <f>'液状化抑制効果計算'!AG26</f>
      </c>
      <c r="Q25" s="31">
        <f>'液状化抑制効果計算'!$AH26</f>
      </c>
      <c r="AD25" s="18"/>
    </row>
    <row r="26" spans="3:17" ht="13.5">
      <c r="C26" s="114">
        <f>'地盤状態入力'!B28</f>
        <v>6.5</v>
      </c>
      <c r="D26" s="115" t="str">
        <f>IF('地盤状態入力'!C28="","",'地盤状態入力'!C28)</f>
        <v>砂質土</v>
      </c>
      <c r="E26" s="116">
        <f>IF('地盤状態入力'!D28="","",'地盤状態入力'!D28)</f>
        <v>21</v>
      </c>
      <c r="F26" s="177">
        <f>IF('地盤状態入力'!E28="","",'地盤状態入力'!E28)</f>
        <v>7</v>
      </c>
      <c r="G26" s="178">
        <f>IF('地盤状態入力'!G28="","",'地盤状態入力'!G28)</f>
        <v>100</v>
      </c>
      <c r="H26" s="100">
        <f>IF('液状化抑制効果計算'!H27="","",'液状化抑制効果計算'!H27)</f>
      </c>
      <c r="I26" s="27">
        <f>IF('液状化抑制効果計算'!R27="","",IF('液状化抑制効果計算'!R27&lt;=2,'液状化抑制効果計算'!R27,"2以上"))</f>
        <v>0.9035513737198245</v>
      </c>
      <c r="J26" s="474">
        <f>'液状化抑制効果計算'!S27</f>
        <v>0.32551411369559224</v>
      </c>
      <c r="K26" s="29" t="str">
        <f>'液状化抑制効果計算'!T27</f>
        <v>×</v>
      </c>
      <c r="L26" s="28">
        <f>IF('液状化抑制効果計算'!Y27="","",IF('液状化抑制効果計算'!Y27&lt;=2,'液状化抑制効果計算'!Y27,"2以上"))</f>
        <v>0.6354647023963601</v>
      </c>
      <c r="M26" s="102">
        <f>'液状化抑制効果計算'!Z27</f>
        <v>1.2303066294122846</v>
      </c>
      <c r="N26" s="92" t="str">
        <f>'液状化抑制効果計算'!AA27</f>
        <v>×</v>
      </c>
      <c r="O26" s="27">
        <f>IF('液状化抑制効果計算'!AF27="","",IF('液状化抑制効果計算'!AF27&lt;=2,'液状化抑制効果計算'!AF27,"2以上"))</f>
        <v>1.129439217149781</v>
      </c>
      <c r="P26" s="474">
        <f>'液状化抑制効果計算'!AG27</f>
      </c>
      <c r="Q26" s="31">
        <f>'液状化抑制効果計算'!$AH27</f>
      </c>
    </row>
    <row r="27" spans="3:17" ht="13.5">
      <c r="C27" s="114">
        <f>'地盤状態入力'!B29</f>
        <v>7</v>
      </c>
      <c r="D27" s="115" t="str">
        <f>IF('地盤状態入力'!C29="","",'地盤状態入力'!C29)</f>
        <v>砂質土</v>
      </c>
      <c r="E27" s="116">
        <f>IF('地盤状態入力'!D29="","",'地盤状態入力'!D29)</f>
        <v>21</v>
      </c>
      <c r="F27" s="177">
        <f>IF('地盤状態入力'!E29="","",'地盤状態入力'!E29)</f>
        <v>7</v>
      </c>
      <c r="G27" s="178">
        <f>IF('地盤状態入力'!G29="","",'地盤状態入力'!G29)</f>
        <v>100</v>
      </c>
      <c r="H27" s="100">
        <f>IF('液状化抑制効果計算'!H28="","",'液状化抑制効果計算'!H28)</f>
      </c>
      <c r="I27" s="27">
        <f>IF('液状化抑制効果計算'!R28="","",IF('液状化抑制効果計算'!R28&lt;=2,'液状化抑制効果計算'!R28,"2以上"))</f>
        <v>0.8647996331128361</v>
      </c>
      <c r="J27" s="474">
        <f>'液状化抑制効果計算'!S28</f>
        <v>0.43940119238328257</v>
      </c>
      <c r="K27" s="29" t="str">
        <f>'液状化抑制効果計算'!T28</f>
        <v>×</v>
      </c>
      <c r="L27" s="28">
        <f>IF('液状化抑制効果計算'!Y28="","",IF('液状化抑制効果計算'!Y28&lt;=2,'液状化抑制効果計算'!Y28,"2以上"))</f>
        <v>0.6082107309804562</v>
      </c>
      <c r="M27" s="102">
        <f>'液状化抑制効果計算'!Z28</f>
        <v>1.2733151243135175</v>
      </c>
      <c r="N27" s="92" t="str">
        <f>'液状化抑制効果計算'!AA28</f>
        <v>×</v>
      </c>
      <c r="O27" s="27">
        <f>IF('液状化抑制効果計算'!AF28="","",IF('液状化抑制効果計算'!AF28&lt;=2,'液状化抑制効果計算'!AF28,"2以上"))</f>
        <v>1.0809995413910454</v>
      </c>
      <c r="P27" s="474">
        <f>'液状化抑制効果計算'!AG28</f>
      </c>
      <c r="Q27" s="31">
        <f>'液状化抑制効果計算'!$AH28</f>
      </c>
    </row>
    <row r="28" spans="3:17" ht="13.5">
      <c r="C28" s="114">
        <f>'地盤状態入力'!B30</f>
        <v>7.5</v>
      </c>
      <c r="D28" s="115" t="str">
        <f>IF('地盤状態入力'!C30="","",'地盤状態入力'!C30)</f>
        <v>砂質土</v>
      </c>
      <c r="E28" s="116">
        <f>IF('地盤状態入力'!D30="","",'地盤状態入力'!D30)</f>
        <v>21</v>
      </c>
      <c r="F28" s="177">
        <f>IF('地盤状態入力'!E30="","",'地盤状態入力'!E30)</f>
        <v>7</v>
      </c>
      <c r="G28" s="178">
        <f>IF('地盤状態入力'!G30="","",'地盤状態入力'!G30)</f>
        <v>100</v>
      </c>
      <c r="H28" s="100">
        <f>IF('液状化抑制効果計算'!H29="","",'液状化抑制効果計算'!H29)</f>
      </c>
      <c r="I28" s="27">
        <f>IF('液状化抑制効果計算'!R29="","",IF('液状化抑制効果計算'!R29&lt;=2,'液状化抑制効果計算'!R29,"2以上"))</f>
        <v>0.8328822195513663</v>
      </c>
      <c r="J28" s="474">
        <f>'液状化抑制効果計算'!S29</f>
        <v>0.5222430639019803</v>
      </c>
      <c r="K28" s="29" t="str">
        <f>'液状化抑制効果計算'!T29</f>
        <v>×</v>
      </c>
      <c r="L28" s="28">
        <f>IF('液状化抑制効果計算'!Y29="","",IF('液状化抑制効果計算'!Y29&lt;=2,'液状化抑制効果計算'!Y29,"2以上"))</f>
        <v>0.5857633192449169</v>
      </c>
      <c r="M28" s="102">
        <f>'液状化抑制効果計算'!Z29</f>
        <v>1.2944896273596347</v>
      </c>
      <c r="N28" s="92" t="str">
        <f>'液状化抑制効果計算'!AA29</f>
        <v>×</v>
      </c>
      <c r="O28" s="27">
        <f>IF('液状化抑制効果計算'!AF29="","",IF('液状化抑制効果計算'!AF29&lt;=2,'液状化抑制効果計算'!AF29,"2以上"))</f>
        <v>1.041102774439208</v>
      </c>
      <c r="P28" s="474">
        <f>'液状化抑制効果計算'!AG29</f>
      </c>
      <c r="Q28" s="31">
        <f>'液状化抑制効果計算'!$AH29</f>
      </c>
    </row>
    <row r="29" spans="3:17" ht="13.5">
      <c r="C29" s="114">
        <f>'地盤状態入力'!B31</f>
        <v>8</v>
      </c>
      <c r="D29" s="115" t="str">
        <f>IF('地盤状態入力'!C31="","",'地盤状態入力'!C31)</f>
        <v>砂質土</v>
      </c>
      <c r="E29" s="116">
        <f>IF('地盤状態入力'!D31="","",'地盤状態入力'!D31)</f>
        <v>21</v>
      </c>
      <c r="F29" s="177">
        <f>IF('地盤状態入力'!E31="","",'地盤状態入力'!E31)</f>
        <v>7</v>
      </c>
      <c r="G29" s="178">
        <f>IF('地盤状態入力'!G31="","",'地盤状態入力'!G31)</f>
        <v>100</v>
      </c>
      <c r="H29" s="100">
        <f>IF('液状化抑制効果計算'!H30="","",'液状化抑制効果計算'!H30)</f>
      </c>
      <c r="I29" s="27">
        <f>IF('液状化抑制効果計算'!R30="","",IF('液状化抑制効果計算'!R30&lt;=2,'液状化抑制効果計算'!R30,"2以上"))</f>
        <v>0.8062973692455272</v>
      </c>
      <c r="J29" s="474">
        <f>'液状化抑制効果計算'!S30</f>
        <v>0.5811078922634184</v>
      </c>
      <c r="K29" s="29" t="str">
        <f>'液状化抑制効果計算'!T30</f>
        <v>×</v>
      </c>
      <c r="L29" s="28">
        <f>IF('液状化抑制効果計算'!Y30="","",IF('液状化抑制効果計算'!Y30&lt;=2,'液状化抑制効果計算'!Y30,"2以上"))</f>
        <v>0.5670662816671839</v>
      </c>
      <c r="M29" s="102">
        <f>'液状化抑制効果計算'!Z30</f>
        <v>1.2988011549984484</v>
      </c>
      <c r="N29" s="92" t="str">
        <f>'液状化抑制効果計算'!AA30</f>
        <v>×</v>
      </c>
      <c r="O29" s="27">
        <f>IF('液状化抑制効果計算'!AF30="","",IF('液状化抑制効果計算'!AF30&lt;=2,'液状化抑制効果計算'!AF30,"2以上"))</f>
        <v>1.0078717115569091</v>
      </c>
      <c r="P29" s="474">
        <f>'液状化抑制効果計算'!AG30</f>
      </c>
      <c r="Q29" s="31">
        <f>'液状化抑制効果計算'!$AH30</f>
      </c>
    </row>
    <row r="30" spans="3:17" ht="13.5">
      <c r="C30" s="114">
        <f>'地盤状態入力'!B32</f>
        <v>8.5</v>
      </c>
      <c r="D30" s="115" t="str">
        <f>IF('地盤状態入力'!C32="","",'地盤状態入力'!C32)</f>
        <v>砂質土</v>
      </c>
      <c r="E30" s="116">
        <f>IF('地盤状態入力'!D32="","",'地盤状態入力'!D32)</f>
        <v>21</v>
      </c>
      <c r="F30" s="177">
        <f>IF('地盤状態入力'!E32="","",'地盤状態入力'!E32)</f>
        <v>7</v>
      </c>
      <c r="G30" s="178">
        <f>IF('地盤状態入力'!G32="","",'地盤状態入力'!G32)</f>
        <v>100</v>
      </c>
      <c r="H30" s="100">
        <f>IF('液状化抑制効果計算'!H31="","",'液状化抑制効果計算'!H31)</f>
      </c>
      <c r="I30" s="27">
        <f>IF('液状化抑制効果計算'!R31="","",IF('液状化抑制効果計算'!R31&lt;=2,'液状化抑制効果計算'!R31,"2以上"))</f>
        <v>0.7839530354286173</v>
      </c>
      <c r="J30" s="474">
        <f>'液状化抑制効果計算'!S31</f>
        <v>0.6211350231427253</v>
      </c>
      <c r="K30" s="29" t="str">
        <f>'液状化抑制効果計算'!T31</f>
        <v>×</v>
      </c>
      <c r="L30" s="28">
        <f>IF('液状化抑制効果計算'!Y31="","",IF('液状化抑制効果計算'!Y31&lt;=2,'液状化抑制効果計算'!Y31,"2以上"))</f>
        <v>0.5513515853563901</v>
      </c>
      <c r="M30" s="102">
        <f>'液状化抑制効果計算'!Z31</f>
        <v>1.2898641921003786</v>
      </c>
      <c r="N30" s="92" t="str">
        <f>'液状化抑制効果計算'!AA31</f>
        <v>×</v>
      </c>
      <c r="O30" s="27">
        <f>IF('液状化抑制効果計算'!AF31="","",IF('液状化抑制効果計算'!AF31&lt;=2,'液状化抑制効果計算'!AF31,"2以上"))</f>
        <v>0.9799412942857718</v>
      </c>
      <c r="P30" s="474">
        <f>'液状化抑制効果計算'!AG31</f>
        <v>0.057668778928406036</v>
      </c>
      <c r="Q30" s="31" t="str">
        <f>'液状化抑制効果計算'!$AH31</f>
        <v>×</v>
      </c>
    </row>
    <row r="31" spans="3:17" ht="13.5">
      <c r="C31" s="114">
        <f>'地盤状態入力'!B33</f>
        <v>9</v>
      </c>
      <c r="D31" s="115" t="str">
        <f>IF('地盤状態入力'!C33="","",'地盤状態入力'!C33)</f>
        <v>砂質土</v>
      </c>
      <c r="E31" s="116">
        <f>IF('地盤状態入力'!D33="","",'地盤状態入力'!D33)</f>
        <v>21</v>
      </c>
      <c r="F31" s="177">
        <f>IF('地盤状態入力'!E33="","",'地盤状態入力'!E33)</f>
        <v>7</v>
      </c>
      <c r="G31" s="178">
        <f>IF('地盤状態入力'!G33="","",'地盤状態入力'!G33)</f>
        <v>100</v>
      </c>
      <c r="H31" s="100">
        <f>IF('液状化抑制効果計算'!H32="","",'液状化抑制効果計算'!H32)</f>
      </c>
      <c r="I31" s="27">
        <f>IF('液状化抑制効果計算'!R32="","",IF('液状化抑制効果計算'!R32&lt;=2,'液状化抑制効果計算'!R32,"2以上"))</f>
        <v>0.7650374992634034</v>
      </c>
      <c r="J31" s="474">
        <f>'液状化抑制効果計算'!S32</f>
        <v>0.6461468770256408</v>
      </c>
      <c r="K31" s="29" t="str">
        <f>'液状化抑制効果計算'!T32</f>
        <v>×</v>
      </c>
      <c r="L31" s="28">
        <f>IF('液状化抑制効果計算'!Y32="","",IF('液状化抑制効果計算'!Y32&lt;=2,'液状化抑制効果計算'!Y32,"2以上"))</f>
        <v>0.5380483511303057</v>
      </c>
      <c r="M31" s="102">
        <f>'液状化抑制効果計算'!Z32</f>
        <v>1.2703670343916593</v>
      </c>
      <c r="N31" s="92" t="str">
        <f>'液状化抑制効果計算'!AA32</f>
        <v>×</v>
      </c>
      <c r="O31" s="27">
        <f>IF('液状化抑制効果計算'!AF32="","",IF('液状化抑制効果計算'!AF32&lt;=2,'液状化抑制効果計算'!AF32,"2以上"))</f>
        <v>0.9562968740792543</v>
      </c>
      <c r="P31" s="474">
        <f>'液状化抑制効果計算'!AG32</f>
        <v>0.12018359628205055</v>
      </c>
      <c r="Q31" s="31" t="str">
        <f>'液状化抑制効果計算'!$AH32</f>
        <v>×</v>
      </c>
    </row>
    <row r="32" spans="3:17" ht="13.5">
      <c r="C32" s="114">
        <f>'地盤状態入力'!B34</f>
        <v>9.5</v>
      </c>
      <c r="D32" s="115" t="str">
        <f>IF('地盤状態入力'!C34="","",'地盤状態入力'!C34)</f>
        <v>粘性土</v>
      </c>
      <c r="E32" s="116">
        <f>IF('地盤状態入力'!D34="","",'地盤状態入力'!D34)</f>
        <v>45</v>
      </c>
      <c r="F32" s="177">
        <f>IF('地盤状態入力'!E34="","",'地盤状態入力'!E34)</f>
        <v>2</v>
      </c>
      <c r="G32" s="178">
        <f>IF('地盤状態入力'!G34="","",'地盤状態入力'!G34)</f>
        <v>100</v>
      </c>
      <c r="H32" s="100">
        <f>IF('液状化抑制効果計算'!H33="","",'液状化抑制効果計算'!H33)</f>
      </c>
      <c r="I32" s="27">
        <f>IF('液状化抑制効果計算'!R33="","",IF('液状化抑制効果計算'!R33&lt;=2,'液状化抑制効果計算'!R33,"2以上"))</f>
        <v>0.6238653982341498</v>
      </c>
      <c r="J32" s="474">
        <f>'液状化抑制効果計算'!S33</f>
        <v>0.9873533296353568</v>
      </c>
      <c r="K32" s="29" t="str">
        <f>'液状化抑制効果計算'!T33</f>
        <v>×</v>
      </c>
      <c r="L32" s="28">
        <f>IF('液状化抑制効果計算'!Y33="","",IF('液状化抑制効果計算'!Y33&lt;=2,'液状化抑制効果計算'!Y33,"2以上"))</f>
        <v>0.4387624778789625</v>
      </c>
      <c r="M32" s="102">
        <f>'液状化抑制効果計算'!Z33</f>
        <v>1.4732484955677234</v>
      </c>
      <c r="N32" s="92" t="str">
        <f>'液状化抑制効果計算'!AA33</f>
        <v>×</v>
      </c>
      <c r="O32" s="27">
        <f>IF('液状化抑制効果計算'!AF33="","",IF('液状化抑制効果計算'!AF33&lt;=2,'液状化抑制効果計算'!AF33,"2以上"))</f>
        <v>0.7798317477926874</v>
      </c>
      <c r="P32" s="474">
        <f>'液状化抑制効果計算'!AG33</f>
        <v>0.5779416620441956</v>
      </c>
      <c r="Q32" s="31" t="str">
        <f>'液状化抑制効果計算'!$AH33</f>
        <v>×</v>
      </c>
    </row>
    <row r="33" spans="3:17" ht="13.5">
      <c r="C33" s="252">
        <f>'地盤状態入力'!B35</f>
        <v>10</v>
      </c>
      <c r="D33" s="253" t="str">
        <f>IF('地盤状態入力'!C35="","",'地盤状態入力'!C35)</f>
        <v>粘性土</v>
      </c>
      <c r="E33" s="254">
        <f>IF('地盤状態入力'!D35="","",'地盤状態入力'!D35)</f>
        <v>45</v>
      </c>
      <c r="F33" s="255">
        <f>IF('地盤状態入力'!E35="","",'地盤状態入力'!E35)</f>
        <v>2</v>
      </c>
      <c r="G33" s="256">
        <f>IF('地盤状態入力'!G35="","",'地盤状態入力'!G35)</f>
        <v>100</v>
      </c>
      <c r="H33" s="257">
        <f>IF('液状化抑制効果計算'!H34="","",'液状化抑制効果計算'!H34)</f>
      </c>
      <c r="I33" s="258">
        <f>IF('液状化抑制効果計算'!R34="","",IF('液状化抑制効果計算'!R34&lt;=2,'液状化抑制効果計算'!R34,"2以上"))</f>
        <v>0.6182801588177159</v>
      </c>
      <c r="J33" s="455">
        <f>'液状化抑制効果計算'!S34</f>
        <v>0.9542996029557103</v>
      </c>
      <c r="K33" s="259" t="str">
        <f>'液状化抑制効果計算'!T34</f>
        <v>×</v>
      </c>
      <c r="L33" s="260">
        <f>IF('液状化抑制効果計算'!Y34="","",IF('液状化抑制効果計算'!Y34&lt;=2,'液状化抑制効果計算'!Y34,"2以上"))</f>
        <v>0.43483439741026175</v>
      </c>
      <c r="M33" s="455">
        <f>'液状化抑制効果計算'!Z34</f>
        <v>1.4129140064743457</v>
      </c>
      <c r="N33" s="261" t="str">
        <f>'液状化抑制効果計算'!AA34</f>
        <v>×</v>
      </c>
      <c r="O33" s="258">
        <f>IF('液状化抑制効果計算'!AF34="","",IF('液状化抑制効果計算'!AF34&lt;=2,'液状化抑制効果計算'!AF34,"2以上"))</f>
        <v>0.772850198522145</v>
      </c>
      <c r="P33" s="455">
        <f>'液状化抑制効果計算'!AG34</f>
        <v>0.5678745036946375</v>
      </c>
      <c r="Q33" s="262" t="str">
        <f>'液状化抑制効果計算'!$AH34</f>
        <v>×</v>
      </c>
    </row>
    <row r="34" spans="3:17" ht="13.5">
      <c r="C34" s="114">
        <f>'地盤状態入力'!B36</f>
        <v>10.5</v>
      </c>
      <c r="D34" s="115" t="str">
        <f>IF('地盤状態入力'!C36="","",'地盤状態入力'!C36)</f>
        <v>粘性土</v>
      </c>
      <c r="E34" s="116">
        <f>IF('地盤状態入力'!D36="","",'地盤状態入力'!D36)</f>
        <v>45</v>
      </c>
      <c r="F34" s="177">
        <f>IF('地盤状態入力'!E36="","",'地盤状態入力'!E36)</f>
        <v>2</v>
      </c>
      <c r="G34" s="178">
        <f>IF('地盤状態入力'!G36="","",'地盤状態入力'!G36)</f>
        <v>100</v>
      </c>
      <c r="H34" s="100">
        <f>IF('液状化抑制効果計算'!H35="","",'液状化抑制効果計算'!H35)</f>
      </c>
      <c r="I34" s="27">
        <f>IF('液状化抑制効果計算'!R35="","",IF('液状化抑制効果計算'!R35&lt;=2,'液状化抑制効果計算'!R35,"2以上"))</f>
        <v>0.6283473061381248</v>
      </c>
      <c r="J34" s="474">
        <f>'液状化抑制効果計算'!S35</f>
        <v>0.8826751479219535</v>
      </c>
      <c r="K34" s="29" t="str">
        <f>'液状化抑制効果計算'!T35</f>
        <v>×</v>
      </c>
      <c r="L34" s="28">
        <f>IF('液状化抑制効果計算'!Y35="","",IF('液状化抑制効果計算'!Y35&lt;=2,'液状化抑制効果計算'!Y35,"2以上"))</f>
        <v>0.4419145889323075</v>
      </c>
      <c r="M34" s="102">
        <f>'液状化抑制効果計算'!Z35</f>
        <v>1.3254528512857697</v>
      </c>
      <c r="N34" s="92" t="str">
        <f>'液状化抑制効果計算'!AA35</f>
        <v>×</v>
      </c>
      <c r="O34" s="27">
        <f>IF('液状化抑制効果計算'!AF35="","",IF('液状化抑制効果計算'!AF35&lt;=2,'液状化抑制効果計算'!AF35,"2以上"))</f>
        <v>0.7854341326726562</v>
      </c>
      <c r="P34" s="474">
        <f>'液状化抑制効果計算'!AG35</f>
        <v>0.5095939349024416</v>
      </c>
      <c r="Q34" s="31" t="str">
        <f>'液状化抑制効果計算'!$AH35</f>
        <v>×</v>
      </c>
    </row>
    <row r="35" spans="3:17" ht="13.5">
      <c r="C35" s="114">
        <f>'地盤状態入力'!B37</f>
        <v>11</v>
      </c>
      <c r="D35" s="115" t="str">
        <f>IF('地盤状態入力'!C37="","",'地盤状態入力'!C37)</f>
        <v>粘性土</v>
      </c>
      <c r="E35" s="116">
        <f>IF('地盤状態入力'!D37="","",'地盤状態入力'!D37)</f>
        <v>45</v>
      </c>
      <c r="F35" s="177">
        <f>IF('地盤状態入力'!E37="","",'地盤状態入力'!E37)</f>
        <v>2</v>
      </c>
      <c r="G35" s="178">
        <f>IF('地盤状態入力'!G37="","",'地盤状態入力'!G37)</f>
        <v>100</v>
      </c>
      <c r="H35" s="100">
        <f>IF('液状化抑制効果計算'!H36="","",'液状化抑制効果計算'!H36)</f>
      </c>
      <c r="I35" s="27">
        <f>IF('液状化抑制効果計算'!R36="","",IF('液状化抑制効果計算'!R36&lt;=2,'液状化抑制効果計算'!R36,"2以上"))</f>
        <v>0.6244209381234356</v>
      </c>
      <c r="J35" s="474">
        <f>'液状化抑制効果計算'!S36</f>
        <v>0.84505288922227</v>
      </c>
      <c r="K35" s="29" t="str">
        <f>'液状化抑制効果計算'!T36</f>
        <v>×</v>
      </c>
      <c r="L35" s="28">
        <f>IF('液状化抑制効果計算'!Y36="","",IF('液状化抑制効果計算'!Y36&lt;=2,'液状化抑制効果計算'!Y36,"2以上"))</f>
        <v>0.43915318725164704</v>
      </c>
      <c r="M35" s="102">
        <f>'液状化抑制効果計算'!Z36</f>
        <v>1.2619053286837942</v>
      </c>
      <c r="N35" s="92" t="str">
        <f>'液状化抑制効果計算'!AA36</f>
        <v>×</v>
      </c>
      <c r="O35" s="27">
        <f>IF('液状化抑制効果計算'!AF36="","",IF('液状化抑制効果計算'!AF36&lt;=2,'液状化抑制効果計算'!AF36,"2以上"))</f>
        <v>0.7805261726542946</v>
      </c>
      <c r="P35" s="474">
        <f>'液状化抑制効果計算'!AG36</f>
        <v>0.4938161115278372</v>
      </c>
      <c r="Q35" s="31" t="str">
        <f>'液状化抑制効果計算'!$AH36</f>
        <v>×</v>
      </c>
    </row>
    <row r="36" spans="3:17" ht="13.5">
      <c r="C36" s="114">
        <f>'地盤状態入力'!B38</f>
        <v>11.5</v>
      </c>
      <c r="D36" s="115" t="str">
        <f>IF('地盤状態入力'!C38="","",'地盤状態入力'!C38)</f>
        <v>砂質土</v>
      </c>
      <c r="E36" s="116">
        <f>IF('地盤状態入力'!D38="","",'地盤状態入力'!D38)</f>
        <v>6</v>
      </c>
      <c r="F36" s="177">
        <f>IF('地盤状態入力'!E38="","",'地盤状態入力'!E38)</f>
        <v>22</v>
      </c>
      <c r="G36" s="178">
        <f>IF('地盤状態入力'!G38="","",'地盤状態入力'!G38)</f>
        <v>100</v>
      </c>
      <c r="H36" s="100">
        <f>IF('液状化抑制効果計算'!H37="","",'液状化抑制効果計算'!H37)</f>
      </c>
      <c r="I36" s="27">
        <f>IF('液状化抑制効果計算'!R37="","",IF('液状化抑制効果計算'!R37&lt;=2,'液状化抑制効果計算'!R37,"2以上"))</f>
        <v>1.7062872293217792</v>
      </c>
      <c r="J36" s="474">
        <f>'液状化抑制効果計算'!S37</f>
      </c>
      <c r="K36" s="29">
        <f>'液状化抑制効果計算'!T37</f>
      </c>
      <c r="L36" s="28">
        <f>IF('液状化抑制効果計算'!Y37="","",IF('液状化抑制効果計算'!Y37&lt;=2,'液状化抑制効果計算'!Y37,"2以上"))</f>
        <v>1.2000261832592733</v>
      </c>
      <c r="M36" s="102">
        <f>'液状化抑制効果計算'!Z37</f>
      </c>
      <c r="N36" s="92">
        <f>'液状化抑制効果計算'!AA37</f>
      </c>
      <c r="O36" s="27" t="str">
        <f>IF('液状化抑制効果計算'!AF37="","",IF('液状化抑制効果計算'!AF37&lt;=2,'液状化抑制効果計算'!AF37,"2以上"))</f>
        <v>2以上</v>
      </c>
      <c r="P36" s="474">
        <f>'液状化抑制効果計算'!AG37</f>
      </c>
      <c r="Q36" s="31">
        <f>'液状化抑制効果計算'!$AH37</f>
      </c>
    </row>
    <row r="37" spans="3:17" ht="13.5">
      <c r="C37" s="114">
        <f>'地盤状態入力'!B39</f>
        <v>12</v>
      </c>
      <c r="D37" s="115" t="str">
        <f>IF('地盤状態入力'!C39="","",'地盤状態入力'!C39)</f>
        <v>砂質土</v>
      </c>
      <c r="E37" s="116">
        <f>IF('地盤状態入力'!D39="","",'地盤状態入力'!D39)</f>
        <v>6</v>
      </c>
      <c r="F37" s="177">
        <f>IF('地盤状態入力'!E39="","",'地盤状態入力'!E39)</f>
        <v>22</v>
      </c>
      <c r="G37" s="178">
        <f>IF('地盤状態入力'!G39="","",'地盤状態入力'!G39)</f>
        <v>100</v>
      </c>
      <c r="H37" s="100">
        <f>IF('液状化抑制効果計算'!H38="","",'液状化抑制効果計算'!H38)</f>
      </c>
      <c r="I37" s="27">
        <f>IF('液状化抑制効果計算'!R38="","",IF('液状化抑制効果計算'!R38&lt;=2,'液状化抑制効果計算'!R38,"2以上"))</f>
        <v>1.5966978127290963</v>
      </c>
      <c r="J37" s="474">
        <f>'液状化抑制効果計算'!S38</f>
      </c>
      <c r="K37" s="29">
        <f>'液状化抑制効果計算'!T38</f>
      </c>
      <c r="L37" s="28">
        <f>IF('液状化抑制効果計算'!Y38="","",IF('液状化抑制効果計算'!Y38&lt;=2,'液状化抑制効果計算'!Y38,"2以上"))</f>
        <v>1.1229523078534303</v>
      </c>
      <c r="M37" s="102">
        <f>'液状化抑制効果計算'!Z38</f>
      </c>
      <c r="N37" s="92">
        <f>'液状化抑制効果計算'!AA38</f>
      </c>
      <c r="O37" s="27">
        <f>IF('液状化抑制効果計算'!AF38="","",IF('液状化抑制効果計算'!AF38&lt;=2,'液状化抑制効果計算'!AF38,"2以上"))</f>
        <v>1.9958722659113703</v>
      </c>
      <c r="P37" s="474">
        <f>'液状化抑制効果計算'!AG38</f>
      </c>
      <c r="Q37" s="31">
        <f>'液状化抑制効果計算'!$AH38</f>
      </c>
    </row>
    <row r="38" spans="3:17" ht="13.5">
      <c r="C38" s="114">
        <f>'地盤状態入力'!B40</f>
        <v>12.5</v>
      </c>
      <c r="D38" s="115" t="str">
        <f>IF('地盤状態入力'!C40="","",'地盤状態入力'!C40)</f>
        <v>砂質土</v>
      </c>
      <c r="E38" s="116">
        <f>IF('地盤状態入力'!D40="","",'地盤状態入力'!D40)</f>
        <v>6</v>
      </c>
      <c r="F38" s="177">
        <f>IF('地盤状態入力'!E40="","",'地盤状態入力'!E40)</f>
        <v>22</v>
      </c>
      <c r="G38" s="178">
        <f>IF('地盤状態入力'!G40="","",'地盤状態入力'!G40)</f>
        <v>100</v>
      </c>
      <c r="H38" s="100">
        <f>IF('液状化抑制効果計算'!H39="","",'液状化抑制効果計算'!H39)</f>
      </c>
      <c r="I38" s="27">
        <f>IF('液状化抑制効果計算'!R39="","",IF('液状化抑制効果計算'!R39&lt;=2,'液状化抑制効果計算'!R39,"2以上"))</f>
        <v>1.5033994155689736</v>
      </c>
      <c r="J38" s="474">
        <f>'液状化抑制効果計算'!S39</f>
      </c>
      <c r="K38" s="29">
        <f>'液状化抑制効果計算'!T39</f>
      </c>
      <c r="L38" s="28">
        <f>IF('液状化抑制効果計算'!Y39="","",IF('液状化抑制効果計算'!Y39&lt;=2,'液状化抑制効果計算'!Y39,"2以上"))</f>
        <v>1.0573358527078496</v>
      </c>
      <c r="M38" s="102">
        <f>'液状化抑制効果計算'!Z39</f>
      </c>
      <c r="N38" s="92">
        <f>'液状化抑制効果計算'!AA39</f>
      </c>
      <c r="O38" s="27">
        <f>IF('液状化抑制効果計算'!AF39="","",IF('液状化抑制効果計算'!AF39&lt;=2,'液状化抑制効果計算'!AF39,"2以上"))</f>
        <v>1.8792492694612173</v>
      </c>
      <c r="P38" s="474">
        <f>'液状化抑制効果計算'!AG39</f>
      </c>
      <c r="Q38" s="31">
        <f>'液状化抑制効果計算'!$AH39</f>
      </c>
    </row>
    <row r="39" spans="3:17" ht="13.5">
      <c r="C39" s="114">
        <f>'地盤状態入力'!B41</f>
        <v>13</v>
      </c>
      <c r="D39" s="115" t="str">
        <f>IF('地盤状態入力'!C41="","",'地盤状態入力'!C41)</f>
        <v>砂質土</v>
      </c>
      <c r="E39" s="116">
        <f>IF('地盤状態入力'!D41="","",'地盤状態入力'!D41)</f>
        <v>6</v>
      </c>
      <c r="F39" s="177">
        <f>IF('地盤状態入力'!E41="","",'地盤状態入力'!E41)</f>
        <v>22</v>
      </c>
      <c r="G39" s="178">
        <f>IF('地盤状態入力'!G41="","",'地盤状態入力'!G41)</f>
        <v>100</v>
      </c>
      <c r="H39" s="100">
        <f>IF('液状化抑制効果計算'!H40="","",'液状化抑制効果計算'!H40)</f>
      </c>
      <c r="I39" s="27">
        <f>IF('液状化抑制効果計算'!R40="","",IF('液状化抑制効果計算'!R40&lt;=2,'液状化抑制効果計算'!R40,"2以上"))</f>
        <v>1.4235076789745043</v>
      </c>
      <c r="J39" s="474">
        <f>'液状化抑制効果計算'!S40</f>
      </c>
      <c r="K39" s="29">
        <f>'液状化抑制効果計算'!T40</f>
      </c>
      <c r="L39" s="28">
        <f>IF('液状化抑制効果計算'!Y40="","",IF('液状化抑制効果計算'!Y40&lt;=2,'液状化抑制効果計算'!Y40,"2以上"))</f>
        <v>1.0011482577403106</v>
      </c>
      <c r="M39" s="102">
        <f>'液状化抑制効果計算'!Z40</f>
      </c>
      <c r="N39" s="92">
        <f>'液状化抑制効果計算'!AA40</f>
      </c>
      <c r="O39" s="27">
        <f>IF('液状化抑制効果計算'!AF40="","",IF('液状化抑制効果計算'!AF40&lt;=2,'液状化抑制効果計算'!AF40,"2以上"))</f>
        <v>1.7793845987181305</v>
      </c>
      <c r="P39" s="474">
        <f>'液状化抑制効果計算'!AG40</f>
      </c>
      <c r="Q39" s="31">
        <f>'液状化抑制効果計算'!$AH40</f>
      </c>
    </row>
    <row r="40" spans="3:17" ht="13.5">
      <c r="C40" s="114">
        <f>'地盤状態入力'!B42</f>
        <v>13.5</v>
      </c>
      <c r="D40" s="115" t="str">
        <f>IF('地盤状態入力'!C42="","",'地盤状態入力'!C42)</f>
        <v>砂質土</v>
      </c>
      <c r="E40" s="116">
        <f>IF('地盤状態入力'!D42="","",'地盤状態入力'!D42)</f>
        <v>6</v>
      </c>
      <c r="F40" s="177">
        <f>IF('地盤状態入力'!E42="","",'地盤状態入力'!E42)</f>
        <v>22</v>
      </c>
      <c r="G40" s="178">
        <f>IF('地盤状態入力'!G42="","",'地盤状態入力'!G42)</f>
        <v>100</v>
      </c>
      <c r="H40" s="100">
        <f>IF('液状化抑制効果計算'!H41="","",'液状化抑制効果計算'!H41)</f>
      </c>
      <c r="I40" s="27">
        <f>IF('液状化抑制効果計算'!R41="","",IF('液状化抑制効果計算'!R41&lt;=2,'液状化抑制効果計算'!R41,"2以上"))</f>
        <v>1.3547382067781069</v>
      </c>
      <c r="J40" s="474">
        <f>'液状化抑制効果計算'!S41</f>
      </c>
      <c r="K40" s="29">
        <f>'液状化抑制効果計算'!T41</f>
      </c>
      <c r="L40" s="28">
        <f>IF('液状化抑制効果計算'!Y41="","",IF('液状化抑制効果計算'!Y41&lt;=2,'液状化抑制効果計算'!Y41,"2以上"))</f>
        <v>0.9527829146571299</v>
      </c>
      <c r="M40" s="102">
        <f>'液状化抑制効果計算'!Z41</f>
        <v>0.07672776368216384</v>
      </c>
      <c r="N40" s="92" t="str">
        <f>'液状化抑制効果計算'!AA41</f>
        <v>×</v>
      </c>
      <c r="O40" s="27">
        <f>IF('液状化抑制効果計算'!AF41="","",IF('液状化抑制効果計算'!AF41&lt;=2,'液状化抑制効果計算'!AF41,"2以上"))</f>
        <v>1.6934227584726338</v>
      </c>
      <c r="P40" s="474">
        <f>'液状化抑制効果計算'!AG41</f>
      </c>
      <c r="Q40" s="31">
        <f>'液状化抑制効果計算'!$AH41</f>
      </c>
    </row>
    <row r="41" spans="3:17" ht="13.5">
      <c r="C41" s="114">
        <f>'地盤状態入力'!B43</f>
        <v>14</v>
      </c>
      <c r="D41" s="115" t="str">
        <f>IF('地盤状態入力'!C43="","",'地盤状態入力'!C43)</f>
        <v>砂質土</v>
      </c>
      <c r="E41" s="116">
        <f>IF('地盤状態入力'!D43="","",'地盤状態入力'!D43)</f>
        <v>6</v>
      </c>
      <c r="F41" s="177">
        <f>IF('地盤状態入力'!E43="","",'地盤状態入力'!E43)</f>
        <v>22</v>
      </c>
      <c r="G41" s="178">
        <f>IF('地盤状態入力'!G43="","",'地盤状態入力'!G43)</f>
        <v>100</v>
      </c>
      <c r="H41" s="100">
        <f>IF('液状化抑制効果計算'!H42="","",'液状化抑制効果計算'!H42)</f>
      </c>
      <c r="I41" s="27">
        <f>IF('液状化抑制効果計算'!R42="","",IF('液状化抑制効果計算'!R42&lt;=2,'液状化抑制効果計算'!R42,"2以上"))</f>
        <v>1.2952658514823803</v>
      </c>
      <c r="J41" s="474">
        <f>'液状化抑制効果計算'!S42</f>
      </c>
      <c r="K41" s="29">
        <f>'液状化抑制効果計算'!T42</f>
      </c>
      <c r="L41" s="28">
        <f>IF('液状化抑制効果計算'!Y42="","",IF('液状化抑制効果計算'!Y42&lt;=2,'液状化抑制効果計算'!Y42,"2以上"))</f>
        <v>0.9109562032403552</v>
      </c>
      <c r="M41" s="102">
        <f>'液状化抑制効果計算'!Z42</f>
        <v>0.1335656951394672</v>
      </c>
      <c r="N41" s="92" t="str">
        <f>'液状化抑制効果計算'!AA42</f>
        <v>×</v>
      </c>
      <c r="O41" s="27">
        <f>IF('液状化抑制効果計算'!AF42="","",IF('液状化抑制効果計算'!AF42&lt;=2,'液状化抑制効果計算'!AF42,"2以上"))</f>
        <v>1.6190823143529758</v>
      </c>
      <c r="P41" s="474">
        <f>'液状化抑制効果計算'!AG42</f>
      </c>
      <c r="Q41" s="31">
        <f>'液状化抑制効果計算'!$AH42</f>
      </c>
    </row>
    <row r="42" spans="3:17" ht="13.5">
      <c r="C42" s="114">
        <f>'地盤状態入力'!B44</f>
        <v>14.5</v>
      </c>
      <c r="D42" s="115" t="str">
        <f>IF('地盤状態入力'!C44="","",'地盤状態入力'!C44)</f>
        <v>砂質土</v>
      </c>
      <c r="E42" s="116">
        <f>IF('地盤状態入力'!D44="","",'地盤状態入力'!D44)</f>
        <v>6</v>
      </c>
      <c r="F42" s="177">
        <f>IF('地盤状態入力'!E44="","",'地盤状態入力'!E44)</f>
        <v>43</v>
      </c>
      <c r="G42" s="178">
        <f>IF('地盤状態入力'!G44="","",'地盤状態入力'!G44)</f>
        <v>100</v>
      </c>
      <c r="H42" s="100">
        <f>IF('液状化抑制効果計算'!H43="","",'液状化抑制効果計算'!H43)</f>
      </c>
      <c r="I42" s="27" t="str">
        <f>IF('液状化抑制効果計算'!R43="","",IF('液状化抑制効果計算'!R43&lt;=2,'液状化抑制効果計算'!R43,"2以上"))</f>
        <v>2以上</v>
      </c>
      <c r="J42" s="474">
        <f>'液状化抑制効果計算'!S43</f>
      </c>
      <c r="K42" s="29">
        <f>'液状化抑制効果計算'!T43</f>
      </c>
      <c r="L42" s="28" t="str">
        <f>IF('液状化抑制効果計算'!Y43="","",IF('液状化抑制効果計算'!Y43&lt;=2,'液状化抑制効果計算'!Y43,"2以上"))</f>
        <v>2以上</v>
      </c>
      <c r="M42" s="102">
        <f>'液状化抑制効果計算'!Z43</f>
      </c>
      <c r="N42" s="92">
        <f>'液状化抑制効果計算'!AA43</f>
      </c>
      <c r="O42" s="27" t="str">
        <f>IF('液状化抑制効果計算'!AF43="","",IF('液状化抑制効果計算'!AF43&lt;=2,'液状化抑制効果計算'!AF43,"2以上"))</f>
        <v>2以上</v>
      </c>
      <c r="P42" s="474">
        <f>'液状化抑制効果計算'!AG43</f>
      </c>
      <c r="Q42" s="31">
        <f>'液状化抑制効果計算'!$AH43</f>
      </c>
    </row>
    <row r="43" spans="3:17" ht="13.5">
      <c r="C43" s="252">
        <f>'地盤状態入力'!B45</f>
        <v>15</v>
      </c>
      <c r="D43" s="253" t="str">
        <f>IF('地盤状態入力'!C45="","",'地盤状態入力'!C45)</f>
        <v>砂質土</v>
      </c>
      <c r="E43" s="254">
        <f>IF('地盤状態入力'!D45="","",'地盤状態入力'!D45)</f>
        <v>6</v>
      </c>
      <c r="F43" s="255">
        <f>IF('地盤状態入力'!E45="","",'地盤状態入力'!E45)</f>
        <v>43</v>
      </c>
      <c r="G43" s="256">
        <f>IF('地盤状態入力'!G45="","",'地盤状態入力'!G45)</f>
        <v>100</v>
      </c>
      <c r="H43" s="257">
        <f>IF('液状化抑制効果計算'!H44="","",'液状化抑制効果計算'!H44)</f>
      </c>
      <c r="I43" s="258" t="str">
        <f>IF('液状化抑制効果計算'!R44="","",IF('液状化抑制効果計算'!R44&lt;=2,'液状化抑制効果計算'!R44,"2以上"))</f>
        <v>2以上</v>
      </c>
      <c r="J43" s="455">
        <f>'液状化抑制効果計算'!S44</f>
      </c>
      <c r="K43" s="259">
        <f>'液状化抑制効果計算'!T44</f>
      </c>
      <c r="L43" s="260" t="str">
        <f>IF('液状化抑制効果計算'!Y44="","",IF('液状化抑制効果計算'!Y44&lt;=2,'液状化抑制効果計算'!Y44,"2以上"))</f>
        <v>2以上</v>
      </c>
      <c r="M43" s="455">
        <f>'液状化抑制効果計算'!Z44</f>
      </c>
      <c r="N43" s="261">
        <f>'液状化抑制効果計算'!AA44</f>
      </c>
      <c r="O43" s="258" t="str">
        <f>IF('液状化抑制効果計算'!AF44="","",IF('液状化抑制効果計算'!AF44&lt;=2,'液状化抑制効果計算'!AF44,"2以上"))</f>
        <v>2以上</v>
      </c>
      <c r="P43" s="455">
        <f>'液状化抑制効果計算'!AG44</f>
      </c>
      <c r="Q43" s="262">
        <f>'液状化抑制効果計算'!$AH44</f>
      </c>
    </row>
    <row r="44" spans="3:17" ht="13.5">
      <c r="C44" s="114">
        <f>'地盤状態入力'!B46</f>
        <v>15.5</v>
      </c>
      <c r="D44" s="115" t="str">
        <f>IF('地盤状態入力'!C46="","",'地盤状態入力'!C46)</f>
        <v>砂質土</v>
      </c>
      <c r="E44" s="116">
        <f>IF('地盤状態入力'!D46="","",'地盤状態入力'!D46)</f>
        <v>6</v>
      </c>
      <c r="F44" s="177">
        <f>IF('地盤状態入力'!E46="","",'地盤状態入力'!E46)</f>
        <v>43</v>
      </c>
      <c r="G44" s="178">
        <f>IF('地盤状態入力'!G46="","",'地盤状態入力'!G46)</f>
        <v>100</v>
      </c>
      <c r="H44" s="100">
        <f>IF('液状化抑制効果計算'!H45="","",'液状化抑制効果計算'!H45)</f>
      </c>
      <c r="I44" s="27" t="str">
        <f>IF('液状化抑制効果計算'!R45="","",IF('液状化抑制効果計算'!R45&lt;=2,'液状化抑制効果計算'!R45,"2以上"))</f>
        <v>2以上</v>
      </c>
      <c r="J44" s="474">
        <f>'液状化抑制効果計算'!S45</f>
      </c>
      <c r="K44" s="29">
        <f>'液状化抑制効果計算'!T45</f>
      </c>
      <c r="L44" s="28" t="str">
        <f>IF('液状化抑制効果計算'!Y45="","",IF('液状化抑制効果計算'!Y45&lt;=2,'液状化抑制効果計算'!Y45,"2以上"))</f>
        <v>2以上</v>
      </c>
      <c r="M44" s="102">
        <f>'液状化抑制効果計算'!Z45</f>
      </c>
      <c r="N44" s="92">
        <f>'液状化抑制効果計算'!AA45</f>
      </c>
      <c r="O44" s="27" t="str">
        <f>IF('液状化抑制効果計算'!AF45="","",IF('液状化抑制効果計算'!AF45&lt;=2,'液状化抑制効果計算'!AF45,"2以上"))</f>
        <v>2以上</v>
      </c>
      <c r="P44" s="474">
        <f>'液状化抑制効果計算'!AG45</f>
      </c>
      <c r="Q44" s="31">
        <f>'液状化抑制効果計算'!$AH45</f>
      </c>
    </row>
    <row r="45" spans="3:17" ht="13.5">
      <c r="C45" s="114">
        <f>'地盤状態入力'!B47</f>
        <v>16</v>
      </c>
      <c r="D45" s="115" t="str">
        <f>IF('地盤状態入力'!C47="","",'地盤状態入力'!C47)</f>
        <v>砂質土</v>
      </c>
      <c r="E45" s="116">
        <f>IF('地盤状態入力'!D47="","",'地盤状態入力'!D47)</f>
        <v>6</v>
      </c>
      <c r="F45" s="177">
        <f>IF('地盤状態入力'!E47="","",'地盤状態入力'!E47)</f>
        <v>43</v>
      </c>
      <c r="G45" s="178">
        <f>IF('地盤状態入力'!G47="","",'地盤状態入力'!G47)</f>
        <v>100</v>
      </c>
      <c r="H45" s="100">
        <f>IF('液状化抑制効果計算'!H46="","",'液状化抑制効果計算'!H46)</f>
      </c>
      <c r="I45" s="27" t="str">
        <f>IF('液状化抑制効果計算'!R46="","",IF('液状化抑制効果計算'!R46&lt;=2,'液状化抑制効果計算'!R46,"2以上"))</f>
        <v>2以上</v>
      </c>
      <c r="J45" s="474">
        <f>'液状化抑制効果計算'!S46</f>
      </c>
      <c r="K45" s="29">
        <f>'液状化抑制効果計算'!T46</f>
      </c>
      <c r="L45" s="28" t="str">
        <f>IF('液状化抑制効果計算'!Y46="","",IF('液状化抑制効果計算'!Y46&lt;=2,'液状化抑制効果計算'!Y46,"2以上"))</f>
        <v>2以上</v>
      </c>
      <c r="M45" s="102">
        <f>'液状化抑制効果計算'!Z46</f>
      </c>
      <c r="N45" s="92">
        <f>'液状化抑制効果計算'!AA46</f>
      </c>
      <c r="O45" s="27" t="str">
        <f>IF('液状化抑制効果計算'!AF46="","",IF('液状化抑制効果計算'!AF46&lt;=2,'液状化抑制効果計算'!AF46,"2以上"))</f>
        <v>2以上</v>
      </c>
      <c r="P45" s="474">
        <f>'液状化抑制効果計算'!AG46</f>
      </c>
      <c r="Q45" s="31">
        <f>'液状化抑制効果計算'!$AH46</f>
      </c>
    </row>
    <row r="46" spans="3:17" ht="13.5">
      <c r="C46" s="114">
        <f>'地盤状態入力'!B48</f>
        <v>16.5</v>
      </c>
      <c r="D46" s="115" t="str">
        <f>IF('地盤状態入力'!C48="","",'地盤状態入力'!C48)</f>
        <v>砂質土</v>
      </c>
      <c r="E46" s="116">
        <f>IF('地盤状態入力'!D48="","",'地盤状態入力'!D48)</f>
        <v>6</v>
      </c>
      <c r="F46" s="177">
        <f>IF('地盤状態入力'!E48="","",'地盤状態入力'!E48)</f>
        <v>43</v>
      </c>
      <c r="G46" s="178">
        <f>IF('地盤状態入力'!G48="","",'地盤状態入力'!G48)</f>
        <v>100</v>
      </c>
      <c r="H46" s="100">
        <f>IF('液状化抑制効果計算'!H47="","",'液状化抑制効果計算'!H47)</f>
      </c>
      <c r="I46" s="27" t="str">
        <f>IF('液状化抑制効果計算'!R47="","",IF('液状化抑制効果計算'!R47&lt;=2,'液状化抑制効果計算'!R47,"2以上"))</f>
        <v>2以上</v>
      </c>
      <c r="J46" s="474">
        <f>'液状化抑制効果計算'!S47</f>
      </c>
      <c r="K46" s="29">
        <f>'液状化抑制効果計算'!T47</f>
      </c>
      <c r="L46" s="28" t="str">
        <f>IF('液状化抑制効果計算'!Y47="","",IF('液状化抑制効果計算'!Y47&lt;=2,'液状化抑制効果計算'!Y47,"2以上"))</f>
        <v>2以上</v>
      </c>
      <c r="M46" s="102">
        <f>'液状化抑制効果計算'!Z47</f>
      </c>
      <c r="N46" s="92">
        <f>'液状化抑制効果計算'!AA47</f>
      </c>
      <c r="O46" s="27" t="str">
        <f>IF('液状化抑制効果計算'!AF47="","",IF('液状化抑制効果計算'!AF47&lt;=2,'液状化抑制効果計算'!AF47,"2以上"))</f>
        <v>2以上</v>
      </c>
      <c r="P46" s="474">
        <f>'液状化抑制効果計算'!AG47</f>
      </c>
      <c r="Q46" s="31">
        <f>'液状化抑制効果計算'!$AH47</f>
      </c>
    </row>
    <row r="47" spans="3:17" ht="13.5">
      <c r="C47" s="114">
        <f>'地盤状態入力'!B49</f>
        <v>17</v>
      </c>
      <c r="D47" s="115" t="str">
        <f>IF('地盤状態入力'!C49="","",'地盤状態入力'!C49)</f>
        <v>砂質土</v>
      </c>
      <c r="E47" s="116">
        <f>IF('地盤状態入力'!D49="","",'地盤状態入力'!D49)</f>
        <v>6</v>
      </c>
      <c r="F47" s="177">
        <f>IF('地盤状態入力'!E49="","",'地盤状態入力'!E49)</f>
        <v>43</v>
      </c>
      <c r="G47" s="178">
        <f>IF('地盤状態入力'!G49="","",'地盤状態入力'!G49)</f>
        <v>100</v>
      </c>
      <c r="H47" s="100">
        <f>IF('液状化抑制効果計算'!H48="","",'液状化抑制効果計算'!H48)</f>
      </c>
      <c r="I47" s="27" t="str">
        <f>IF('液状化抑制効果計算'!R48="","",IF('液状化抑制効果計算'!R48&lt;=2,'液状化抑制効果計算'!R48,"2以上"))</f>
        <v>2以上</v>
      </c>
      <c r="J47" s="474">
        <f>'液状化抑制効果計算'!S48</f>
      </c>
      <c r="K47" s="29">
        <f>'液状化抑制効果計算'!T48</f>
      </c>
      <c r="L47" s="28" t="str">
        <f>IF('液状化抑制効果計算'!Y48="","",IF('液状化抑制効果計算'!Y48&lt;=2,'液状化抑制効果計算'!Y48,"2以上"))</f>
        <v>2以上</v>
      </c>
      <c r="M47" s="102">
        <f>'液状化抑制効果計算'!Z48</f>
      </c>
      <c r="N47" s="92">
        <f>'液状化抑制効果計算'!AA48</f>
      </c>
      <c r="O47" s="27" t="str">
        <f>IF('液状化抑制効果計算'!AF48="","",IF('液状化抑制効果計算'!AF48&lt;=2,'液状化抑制効果計算'!AF48,"2以上"))</f>
        <v>2以上</v>
      </c>
      <c r="P47" s="474">
        <f>'液状化抑制効果計算'!AG48</f>
      </c>
      <c r="Q47" s="31">
        <f>'液状化抑制効果計算'!$AH48</f>
      </c>
    </row>
    <row r="48" spans="3:17" ht="13.5">
      <c r="C48" s="114">
        <f>'地盤状態入力'!B50</f>
        <v>17.5</v>
      </c>
      <c r="D48" s="115">
        <f>IF('地盤状態入力'!C50="","",'地盤状態入力'!C50)</f>
      </c>
      <c r="E48" s="116">
        <f>IF('地盤状態入力'!D50="","",'地盤状態入力'!D50)</f>
      </c>
      <c r="F48" s="177">
        <f>IF('地盤状態入力'!E50="","",'地盤状態入力'!E50)</f>
      </c>
      <c r="G48" s="178">
        <f>IF('地盤状態入力'!G50="","",'地盤状態入力'!G50)</f>
      </c>
      <c r="H48" s="100">
        <f>IF('液状化抑制効果計算'!H49="","",'液状化抑制効果計算'!H49)</f>
      </c>
      <c r="I48" s="27">
        <f>IF('液状化抑制効果計算'!R49="","",IF('液状化抑制効果計算'!R49&lt;=2,'液状化抑制効果計算'!R49,"2以上"))</f>
      </c>
      <c r="J48" s="474">
        <f>'液状化抑制効果計算'!S49</f>
      </c>
      <c r="K48" s="29">
        <f>'液状化抑制効果計算'!T49</f>
      </c>
      <c r="L48" s="28">
        <f>IF('液状化抑制効果計算'!Y49="","",IF('液状化抑制効果計算'!Y49&lt;=2,'液状化抑制効果計算'!Y49,"2以上"))</f>
      </c>
      <c r="M48" s="102">
        <f>'液状化抑制効果計算'!Z49</f>
      </c>
      <c r="N48" s="92">
        <f>'液状化抑制効果計算'!AA49</f>
      </c>
      <c r="O48" s="27">
        <f>IF('液状化抑制効果計算'!AF49="","",IF('液状化抑制効果計算'!AF49&lt;=2,'液状化抑制効果計算'!AF49,"2以上"))</f>
      </c>
      <c r="P48" s="474">
        <f>'液状化抑制効果計算'!AG49</f>
      </c>
      <c r="Q48" s="31">
        <f>'液状化抑制効果計算'!$AH49</f>
      </c>
    </row>
    <row r="49" spans="3:17" ht="13.5">
      <c r="C49" s="114">
        <f>'地盤状態入力'!B51</f>
        <v>18</v>
      </c>
      <c r="D49" s="115">
        <f>IF('地盤状態入力'!C51="","",'地盤状態入力'!C51)</f>
      </c>
      <c r="E49" s="116">
        <f>IF('地盤状態入力'!D51="","",'地盤状態入力'!D51)</f>
      </c>
      <c r="F49" s="177">
        <f>IF('地盤状態入力'!E51="","",'地盤状態入力'!E51)</f>
      </c>
      <c r="G49" s="178">
        <f>IF('地盤状態入力'!G51="","",'地盤状態入力'!G51)</f>
      </c>
      <c r="H49" s="100">
        <f>IF('液状化抑制効果計算'!H50="","",'液状化抑制効果計算'!H50)</f>
      </c>
      <c r="I49" s="27">
        <f>IF('液状化抑制効果計算'!R50="","",IF('液状化抑制効果計算'!R50&lt;=2,'液状化抑制効果計算'!R50,"2以上"))</f>
      </c>
      <c r="J49" s="474">
        <f>'液状化抑制効果計算'!S50</f>
      </c>
      <c r="K49" s="29">
        <f>'液状化抑制効果計算'!T50</f>
      </c>
      <c r="L49" s="28">
        <f>IF('液状化抑制効果計算'!Y50="","",IF('液状化抑制効果計算'!Y50&lt;=2,'液状化抑制効果計算'!Y50,"2以上"))</f>
      </c>
      <c r="M49" s="102">
        <f>'液状化抑制効果計算'!Z50</f>
      </c>
      <c r="N49" s="92">
        <f>'液状化抑制効果計算'!AA50</f>
      </c>
      <c r="O49" s="27">
        <f>IF('液状化抑制効果計算'!AF50="","",IF('液状化抑制効果計算'!AF50&lt;=2,'液状化抑制効果計算'!AF50,"2以上"))</f>
      </c>
      <c r="P49" s="474">
        <f>'液状化抑制効果計算'!AG50</f>
      </c>
      <c r="Q49" s="31">
        <f>'液状化抑制効果計算'!$AH50</f>
      </c>
    </row>
    <row r="50" spans="3:17" ht="13.5">
      <c r="C50" s="114">
        <f>'地盤状態入力'!B52</f>
        <v>18.5</v>
      </c>
      <c r="D50" s="115">
        <f>IF('地盤状態入力'!C52="","",'地盤状態入力'!C52)</f>
      </c>
      <c r="E50" s="116">
        <f>IF('地盤状態入力'!D52="","",'地盤状態入力'!D52)</f>
      </c>
      <c r="F50" s="177">
        <f>IF('地盤状態入力'!E52="","",'地盤状態入力'!E52)</f>
      </c>
      <c r="G50" s="178">
        <f>IF('地盤状態入力'!G52="","",'地盤状態入力'!G52)</f>
      </c>
      <c r="H50" s="100">
        <f>IF('液状化抑制効果計算'!H51="","",'液状化抑制効果計算'!H51)</f>
      </c>
      <c r="I50" s="27">
        <f>IF('液状化抑制効果計算'!R51="","",IF('液状化抑制効果計算'!R51&lt;=2,'液状化抑制効果計算'!R51,"2以上"))</f>
      </c>
      <c r="J50" s="474">
        <f>'液状化抑制効果計算'!S51</f>
      </c>
      <c r="K50" s="29">
        <f>'液状化抑制効果計算'!T51</f>
      </c>
      <c r="L50" s="28">
        <f>IF('液状化抑制効果計算'!Y51="","",IF('液状化抑制効果計算'!Y51&lt;=2,'液状化抑制効果計算'!Y51,"2以上"))</f>
      </c>
      <c r="M50" s="102">
        <f>'液状化抑制効果計算'!Z51</f>
      </c>
      <c r="N50" s="92">
        <f>'液状化抑制効果計算'!AA51</f>
      </c>
      <c r="O50" s="27">
        <f>IF('液状化抑制効果計算'!AF51="","",IF('液状化抑制効果計算'!AF51&lt;=2,'液状化抑制効果計算'!AF51,"2以上"))</f>
      </c>
      <c r="P50" s="474">
        <f>'液状化抑制効果計算'!AG51</f>
      </c>
      <c r="Q50" s="31">
        <f>'液状化抑制効果計算'!$AH51</f>
      </c>
    </row>
    <row r="51" spans="3:17" ht="13.5">
      <c r="C51" s="114">
        <f>'地盤状態入力'!B53</f>
        <v>19</v>
      </c>
      <c r="D51" s="115">
        <f>IF('地盤状態入力'!C53="","",'地盤状態入力'!C53)</f>
      </c>
      <c r="E51" s="116">
        <f>IF('地盤状態入力'!D53="","",'地盤状態入力'!D53)</f>
      </c>
      <c r="F51" s="177">
        <f>IF('地盤状態入力'!E53="","",'地盤状態入力'!E53)</f>
      </c>
      <c r="G51" s="178">
        <f>IF('地盤状態入力'!G53="","",'地盤状態入力'!G53)</f>
      </c>
      <c r="H51" s="100">
        <f>IF('液状化抑制効果計算'!H52="","",'液状化抑制効果計算'!H52)</f>
      </c>
      <c r="I51" s="27">
        <f>IF('液状化抑制効果計算'!R52="","",IF('液状化抑制効果計算'!R52&lt;=2,'液状化抑制効果計算'!R52,"2以上"))</f>
      </c>
      <c r="J51" s="474">
        <f>'液状化抑制効果計算'!S52</f>
      </c>
      <c r="K51" s="29">
        <f>'液状化抑制効果計算'!T52</f>
      </c>
      <c r="L51" s="28">
        <f>IF('液状化抑制効果計算'!Y52="","",IF('液状化抑制効果計算'!Y52&lt;=2,'液状化抑制効果計算'!Y52,"2以上"))</f>
      </c>
      <c r="M51" s="102">
        <f>'液状化抑制効果計算'!Z52</f>
      </c>
      <c r="N51" s="92">
        <f>'液状化抑制効果計算'!AA52</f>
      </c>
      <c r="O51" s="27">
        <f>IF('液状化抑制効果計算'!AF52="","",IF('液状化抑制効果計算'!AF52&lt;=2,'液状化抑制効果計算'!AF52,"2以上"))</f>
      </c>
      <c r="P51" s="474">
        <f>'液状化抑制効果計算'!AG52</f>
      </c>
      <c r="Q51" s="31">
        <f>'液状化抑制効果計算'!$AH52</f>
      </c>
    </row>
    <row r="52" spans="3:17" ht="13.5">
      <c r="C52" s="114">
        <f>'地盤状態入力'!B54</f>
        <v>19.5</v>
      </c>
      <c r="D52" s="115">
        <f>IF('地盤状態入力'!C54="","",'地盤状態入力'!C54)</f>
      </c>
      <c r="E52" s="116">
        <f>IF('地盤状態入力'!D54="","",'地盤状態入力'!D54)</f>
      </c>
      <c r="F52" s="177">
        <f>IF('地盤状態入力'!E54="","",'地盤状態入力'!E54)</f>
      </c>
      <c r="G52" s="178">
        <f>IF('地盤状態入力'!G54="","",'地盤状態入力'!G54)</f>
      </c>
      <c r="H52" s="100">
        <f>IF('液状化抑制効果計算'!H53="","",'液状化抑制効果計算'!H53)</f>
      </c>
      <c r="I52" s="27">
        <f>IF('液状化抑制効果計算'!R53="","",IF('液状化抑制効果計算'!R53&lt;=2,'液状化抑制効果計算'!R53,"2以上"))</f>
      </c>
      <c r="J52" s="474">
        <f>'液状化抑制効果計算'!S53</f>
      </c>
      <c r="K52" s="29">
        <f>'液状化抑制効果計算'!T53</f>
      </c>
      <c r="L52" s="28">
        <f>IF('液状化抑制効果計算'!Y53="","",IF('液状化抑制効果計算'!Y53&lt;=2,'液状化抑制効果計算'!Y53,"2以上"))</f>
      </c>
      <c r="M52" s="102">
        <f>'液状化抑制効果計算'!Z53</f>
      </c>
      <c r="N52" s="92">
        <f>'液状化抑制効果計算'!AA53</f>
      </c>
      <c r="O52" s="27">
        <f>IF('液状化抑制効果計算'!AF53="","",IF('液状化抑制効果計算'!AF53&lt;=2,'液状化抑制効果計算'!AF53,"2以上"))</f>
      </c>
      <c r="P52" s="474">
        <f>'液状化抑制効果計算'!AG53</f>
      </c>
      <c r="Q52" s="31">
        <f>'液状化抑制効果計算'!$AH53</f>
      </c>
    </row>
    <row r="53" spans="3:17" ht="14.25" thickBot="1">
      <c r="C53" s="121">
        <f>'地盤状態入力'!B55</f>
        <v>20</v>
      </c>
      <c r="D53" s="122">
        <f>IF('地盤状態入力'!C55="","",'地盤状態入力'!C55)</f>
      </c>
      <c r="E53" s="123">
        <f>IF('地盤状態入力'!D55="","",'地盤状態入力'!D55)</f>
      </c>
      <c r="F53" s="180">
        <f>IF('地盤状態入力'!E55="","",'地盤状態入力'!E55)</f>
      </c>
      <c r="G53" s="181">
        <f>IF('地盤状態入力'!G55="","",'地盤状態入力'!G55)</f>
      </c>
      <c r="H53" s="103">
        <f>IF('液状化抑制効果計算'!H54="","",'液状化抑制効果計算'!H54)</f>
      </c>
      <c r="I53" s="124">
        <f>IF('液状化抑制効果計算'!R54="","",IF('液状化抑制効果計算'!R54&lt;=2,'液状化抑制効果計算'!R54,"2以上"))</f>
      </c>
      <c r="J53" s="102">
        <f>'液状化抑制効果計算'!S54</f>
      </c>
      <c r="K53" s="443">
        <f>'液状化抑制効果計算'!T54</f>
      </c>
      <c r="L53" s="28">
        <f>IF('液状化抑制効果計算'!Y54="","",IF('液状化抑制効果計算'!Y54&lt;=2,'液状化抑制効果計算'!Y54,"2以上"))</f>
      </c>
      <c r="M53" s="102">
        <f>'液状化抑制効果計算'!Z54</f>
      </c>
      <c r="N53" s="444">
        <f>'液状化抑制効果計算'!AA54</f>
      </c>
      <c r="O53" s="27">
        <f>IF('液状化抑制効果計算'!AF54="","",IF('液状化抑制効果計算'!AF54&lt;=2,'液状化抑制効果計算'!AF54,"2以上"))</f>
      </c>
      <c r="P53" s="475">
        <f>'液状化抑制効果計算'!AG54</f>
      </c>
      <c r="Q53" s="125">
        <f>'液状化抑制効果計算'!$AH54</f>
      </c>
    </row>
    <row r="54" spans="3:27" ht="13.5">
      <c r="C54" s="1"/>
      <c r="D54" s="1"/>
      <c r="E54" s="1"/>
      <c r="F54" s="149"/>
      <c r="G54" s="149"/>
      <c r="H54" s="1"/>
      <c r="I54" s="469"/>
      <c r="J54" s="470"/>
      <c r="K54" s="109"/>
      <c r="L54" s="471"/>
      <c r="M54" s="470"/>
      <c r="N54" s="109"/>
      <c r="O54" s="471"/>
      <c r="P54" s="470"/>
      <c r="Q54" s="458"/>
      <c r="Z54" s="1"/>
      <c r="AA54" s="1"/>
    </row>
    <row r="55" spans="3:27" ht="7.5" customHeight="1" thickBot="1">
      <c r="C55" s="1"/>
      <c r="D55" s="1"/>
      <c r="E55" s="1"/>
      <c r="F55" s="149"/>
      <c r="G55" s="149"/>
      <c r="H55" s="1"/>
      <c r="I55" s="188"/>
      <c r="J55" s="446"/>
      <c r="K55" s="1"/>
      <c r="L55" s="11"/>
      <c r="M55" s="446"/>
      <c r="N55" s="1"/>
      <c r="O55" s="11"/>
      <c r="P55" s="446"/>
      <c r="Z55" s="445"/>
      <c r="AA55" s="445"/>
    </row>
    <row r="56" spans="2:25" ht="13.5">
      <c r="B56" s="132"/>
      <c r="C56" s="132"/>
      <c r="D56" s="132"/>
      <c r="E56" s="132"/>
      <c r="F56" s="182"/>
      <c r="G56" s="182"/>
      <c r="H56" s="132"/>
      <c r="I56" s="132"/>
      <c r="J56" s="132"/>
      <c r="K56" s="132"/>
      <c r="L56" s="132"/>
      <c r="M56" s="132"/>
      <c r="N56" s="132"/>
      <c r="O56" s="132"/>
      <c r="P56" s="132"/>
      <c r="Q56" s="132"/>
      <c r="R56" s="132"/>
      <c r="S56" s="132"/>
      <c r="T56" s="132"/>
      <c r="U56" s="132"/>
      <c r="V56" s="132"/>
      <c r="W56" s="132"/>
      <c r="X56" s="132"/>
      <c r="Y56" s="132"/>
    </row>
    <row r="57" spans="2:25" ht="13.5">
      <c r="B57" s="590">
        <v>3</v>
      </c>
      <c r="C57" s="590"/>
      <c r="D57" s="590"/>
      <c r="E57" s="590"/>
      <c r="F57" s="590"/>
      <c r="G57" s="590"/>
      <c r="H57" s="590"/>
      <c r="I57" s="590"/>
      <c r="J57" s="590"/>
      <c r="K57" s="590"/>
      <c r="L57" s="590"/>
      <c r="M57" s="590"/>
      <c r="N57" s="590"/>
      <c r="O57" s="590"/>
      <c r="P57" s="590"/>
      <c r="Q57" s="590"/>
      <c r="R57" s="590"/>
      <c r="S57" s="590"/>
      <c r="T57" s="590"/>
      <c r="U57" s="590"/>
      <c r="V57" s="590"/>
      <c r="W57" s="590"/>
      <c r="X57" s="590"/>
      <c r="Y57" s="590"/>
    </row>
  </sheetData>
  <sheetProtection password="CA83" sheet="1" objects="1" scenarios="1" selectLockedCells="1" selectUnlockedCells="1"/>
  <mergeCells count="18">
    <mergeCell ref="T4:V4"/>
    <mergeCell ref="E5:G5"/>
    <mergeCell ref="E4:G4"/>
    <mergeCell ref="C5:D5"/>
    <mergeCell ref="C6:D6"/>
    <mergeCell ref="C7:D7"/>
    <mergeCell ref="E6:F6"/>
    <mergeCell ref="E7:F7"/>
    <mergeCell ref="B2:AA2"/>
    <mergeCell ref="B57:Y57"/>
    <mergeCell ref="D10:D13"/>
    <mergeCell ref="C11:C12"/>
    <mergeCell ref="C4:D4"/>
    <mergeCell ref="I4:L4"/>
    <mergeCell ref="N4:R4"/>
    <mergeCell ref="O10:Q10"/>
    <mergeCell ref="I10:K10"/>
    <mergeCell ref="L10:N10"/>
  </mergeCells>
  <printOptions horizontalCentered="1"/>
  <pageMargins left="0.5905511811023623" right="0.5905511811023623" top="1.299212598425197" bottom="0.1968503937007874" header="0.7086614173228347" footer="0"/>
  <pageSetup horizontalDpi="600" verticalDpi="600" orientation="landscape" paperSize="8" r:id="rId2"/>
  <drawing r:id="rId1"/>
</worksheet>
</file>

<file path=xl/worksheets/sheet5.xml><?xml version="1.0" encoding="utf-8"?>
<worksheet xmlns="http://schemas.openxmlformats.org/spreadsheetml/2006/main" xmlns:r="http://schemas.openxmlformats.org/officeDocument/2006/relationships">
  <sheetPr codeName="Sheet2">
    <pageSetUpPr fitToPage="1"/>
  </sheetPr>
  <dimension ref="A1:BA60"/>
  <sheetViews>
    <sheetView zoomScale="70" zoomScaleNormal="70" zoomScalePageLayoutView="0" workbookViewId="0" topLeftCell="A1">
      <selection activeCell="AD5" sqref="AD5"/>
    </sheetView>
  </sheetViews>
  <sheetFormatPr defaultColWidth="9.140625" defaultRowHeight="15"/>
  <cols>
    <col min="1" max="1" width="2.421875" style="7" customWidth="1"/>
    <col min="2" max="2" width="6.28125" style="7" customWidth="1"/>
    <col min="3" max="4" width="7.140625" style="7" customWidth="1"/>
    <col min="5" max="6" width="7.140625" style="150" customWidth="1"/>
    <col min="7" max="7" width="7.140625" style="7" customWidth="1"/>
    <col min="8" max="8" width="7.140625" style="8" customWidth="1"/>
    <col min="9" max="9" width="7.140625" style="7" customWidth="1"/>
    <col min="10" max="11" width="7.140625" style="8" customWidth="1"/>
    <col min="12" max="12" width="7.140625" style="7" customWidth="1"/>
    <col min="13" max="13" width="7.140625" style="10" customWidth="1"/>
    <col min="14" max="14" width="7.140625" style="7" customWidth="1"/>
    <col min="15" max="15" width="7.140625" style="10" customWidth="1"/>
    <col min="16" max="16" width="6.421875" style="8" customWidth="1"/>
    <col min="17" max="17" width="6.421875" style="7" customWidth="1"/>
    <col min="18" max="18" width="6.421875" style="10" customWidth="1"/>
    <col min="19" max="19" width="6.421875" style="8" customWidth="1"/>
    <col min="20" max="36" width="6.421875" style="7" customWidth="1"/>
    <col min="37" max="50" width="7.57421875" style="7" customWidth="1"/>
    <col min="51" max="16384" width="9.00390625" style="7" customWidth="1"/>
  </cols>
  <sheetData>
    <row r="1" spans="1:53" ht="14.25" thickBot="1">
      <c r="A1" s="1"/>
      <c r="B1" s="1"/>
      <c r="C1" s="1"/>
      <c r="D1" s="1"/>
      <c r="E1" s="149"/>
      <c r="F1" s="149"/>
      <c r="G1" s="1"/>
      <c r="H1" s="2"/>
      <c r="I1" s="1"/>
      <c r="J1" s="2"/>
      <c r="K1" s="2"/>
      <c r="L1" s="1"/>
      <c r="M1" s="3"/>
      <c r="N1" s="1"/>
      <c r="O1" s="3"/>
      <c r="P1" s="2"/>
      <c r="Q1" s="4"/>
      <c r="R1" s="5"/>
      <c r="S1" s="6"/>
      <c r="T1" s="4"/>
      <c r="U1" s="4"/>
      <c r="V1" s="4"/>
      <c r="W1" s="4"/>
      <c r="AB1" s="4"/>
      <c r="AC1" s="4"/>
      <c r="AH1" s="1"/>
      <c r="AI1" s="1"/>
      <c r="AJ1" s="1"/>
      <c r="AK1" s="1"/>
      <c r="AL1" s="448"/>
      <c r="AM1" s="448"/>
      <c r="AN1" s="448"/>
      <c r="AO1" s="448"/>
      <c r="AP1" s="448"/>
      <c r="AQ1" s="448"/>
      <c r="AR1" s="448"/>
      <c r="AS1" s="448"/>
      <c r="AT1" s="448"/>
      <c r="AU1" s="448"/>
      <c r="AV1" s="448"/>
      <c r="AW1" s="448"/>
      <c r="AX1" s="448"/>
      <c r="AY1" s="448"/>
      <c r="AZ1" s="448"/>
      <c r="BA1" s="448"/>
    </row>
    <row r="2" spans="2:53" ht="14.25" customHeight="1" thickBot="1">
      <c r="B2" s="605" t="s">
        <v>27</v>
      </c>
      <c r="C2" s="605"/>
      <c r="D2" s="605"/>
      <c r="E2" s="605"/>
      <c r="F2" s="605"/>
      <c r="G2" s="605"/>
      <c r="H2" s="605"/>
      <c r="I2" s="605"/>
      <c r="J2" s="605"/>
      <c r="K2" s="605"/>
      <c r="L2" s="605"/>
      <c r="M2" s="605"/>
      <c r="N2" s="605"/>
      <c r="O2" s="605"/>
      <c r="P2" s="605"/>
      <c r="Q2" s="605"/>
      <c r="R2" s="605"/>
      <c r="S2" s="605"/>
      <c r="T2" s="605"/>
      <c r="U2" s="605"/>
      <c r="V2" s="605"/>
      <c r="W2" s="605"/>
      <c r="X2" s="605"/>
      <c r="Y2" s="605"/>
      <c r="Z2" s="605"/>
      <c r="AA2" s="605"/>
      <c r="AB2" s="605"/>
      <c r="AC2" s="605"/>
      <c r="AD2" s="605"/>
      <c r="AE2" s="605"/>
      <c r="AF2" s="605"/>
      <c r="AG2" s="605"/>
      <c r="AH2" s="605"/>
      <c r="AI2" s="605"/>
      <c r="AJ2" s="605"/>
      <c r="AK2" s="447"/>
      <c r="AL2" s="634" t="s">
        <v>89</v>
      </c>
      <c r="AM2" s="634"/>
      <c r="AN2" s="634"/>
      <c r="AO2" s="634"/>
      <c r="AP2" s="634"/>
      <c r="AQ2" s="634"/>
      <c r="AR2" s="634"/>
      <c r="AS2" s="634"/>
      <c r="AT2" s="634"/>
      <c r="AU2" s="634"/>
      <c r="AV2" s="634"/>
      <c r="AW2" s="634"/>
      <c r="AX2" s="634"/>
      <c r="AY2" s="634"/>
      <c r="AZ2" s="634"/>
      <c r="BA2" s="634"/>
    </row>
    <row r="3" spans="9:12" ht="14.25">
      <c r="I3" s="9"/>
      <c r="J3" s="9"/>
      <c r="K3" s="9"/>
      <c r="L3" s="9"/>
    </row>
    <row r="4" spans="2:34" ht="14.25" customHeight="1">
      <c r="B4" s="535" t="str">
        <f>'地盤状態入力'!B5</f>
        <v>調査地点ID</v>
      </c>
      <c r="C4" s="535"/>
      <c r="D4" s="611" t="str">
        <f>'地盤状態入力'!D5</f>
        <v>○○地区</v>
      </c>
      <c r="E4" s="611"/>
      <c r="F4" s="611"/>
      <c r="G4" s="11"/>
      <c r="H4" s="7"/>
      <c r="I4" s="11"/>
      <c r="P4" s="631" t="s">
        <v>57</v>
      </c>
      <c r="Q4" s="607" t="s">
        <v>55</v>
      </c>
      <c r="R4" s="607"/>
      <c r="S4" s="612" t="s">
        <v>56</v>
      </c>
      <c r="T4" s="628"/>
      <c r="U4" s="612" t="s">
        <v>61</v>
      </c>
      <c r="V4" s="612"/>
      <c r="W4" s="608" t="s">
        <v>197</v>
      </c>
      <c r="X4" s="608"/>
      <c r="Y4" s="612" t="s">
        <v>92</v>
      </c>
      <c r="Z4" s="612"/>
      <c r="AB4" s="428"/>
      <c r="AC4" s="12"/>
      <c r="AD4" s="109"/>
      <c r="AE4" s="109"/>
      <c r="AF4" s="109"/>
      <c r="AG4" s="109"/>
      <c r="AH4" s="109"/>
    </row>
    <row r="5" spans="2:38" ht="14.25" customHeight="1">
      <c r="B5" s="633" t="str">
        <f>'地盤状態入力'!B6</f>
        <v>項目名</v>
      </c>
      <c r="C5" s="633"/>
      <c r="D5" s="610" t="str">
        <f>'地盤状態入力'!D6</f>
        <v>メモ等</v>
      </c>
      <c r="E5" s="610"/>
      <c r="F5" s="610"/>
      <c r="G5" s="11"/>
      <c r="H5" s="7"/>
      <c r="I5" s="11"/>
      <c r="P5" s="629"/>
      <c r="Q5" s="539"/>
      <c r="R5" s="539"/>
      <c r="S5" s="629"/>
      <c r="T5" s="630"/>
      <c r="U5" s="542"/>
      <c r="V5" s="542"/>
      <c r="W5" s="609"/>
      <c r="X5" s="609"/>
      <c r="Y5" s="542"/>
      <c r="Z5" s="542"/>
      <c r="AB5" s="449"/>
      <c r="AC5" s="449"/>
      <c r="AD5" s="450"/>
      <c r="AE5" s="451"/>
      <c r="AF5" s="451"/>
      <c r="AG5" s="451"/>
      <c r="AH5" s="451"/>
      <c r="AL5" s="13" t="s">
        <v>51</v>
      </c>
    </row>
    <row r="6" spans="2:39" ht="14.25" customHeight="1">
      <c r="B6" s="633" t="str">
        <f>'地盤状態入力'!B7</f>
        <v>現状地下水位</v>
      </c>
      <c r="C6" s="633"/>
      <c r="D6" s="610">
        <f>'地盤状態入力'!D7</f>
        <v>1</v>
      </c>
      <c r="E6" s="610"/>
      <c r="F6" s="162" t="s">
        <v>11</v>
      </c>
      <c r="G6" s="11"/>
      <c r="H6" s="7"/>
      <c r="I6" s="11"/>
      <c r="P6" s="273">
        <v>1</v>
      </c>
      <c r="Q6" s="635">
        <f>'地盤状態入力'!I6</f>
        <v>200</v>
      </c>
      <c r="R6" s="635"/>
      <c r="S6" s="623">
        <f>'地盤状態入力'!K6</f>
        <v>9</v>
      </c>
      <c r="T6" s="623"/>
      <c r="U6" s="613">
        <f>0.1*(S6-1)</f>
        <v>0.8</v>
      </c>
      <c r="V6" s="613"/>
      <c r="W6" s="606">
        <f>SUM(S15:S54)</f>
        <v>7.793555002151294</v>
      </c>
      <c r="X6" s="606"/>
      <c r="Y6" s="624">
        <f>SUM(AY15:AY54)</f>
        <v>8.011517369528214</v>
      </c>
      <c r="Z6" s="624"/>
      <c r="AB6" s="449"/>
      <c r="AC6" s="449"/>
      <c r="AD6" s="450"/>
      <c r="AE6" s="451"/>
      <c r="AF6" s="451"/>
      <c r="AG6" s="451"/>
      <c r="AH6" s="451"/>
      <c r="AL6" s="309">
        <v>980.665</v>
      </c>
      <c r="AM6" s="13" t="s">
        <v>52</v>
      </c>
    </row>
    <row r="7" spans="2:34" ht="15" customHeight="1">
      <c r="B7" s="633" t="str">
        <f>'地盤状態入力'!B8</f>
        <v>低下後地下水位</v>
      </c>
      <c r="C7" s="633"/>
      <c r="D7" s="610">
        <f>'地盤状態入力'!D8</f>
        <v>3</v>
      </c>
      <c r="E7" s="610"/>
      <c r="F7" s="162" t="s">
        <v>11</v>
      </c>
      <c r="G7" s="14"/>
      <c r="H7" s="7"/>
      <c r="I7" s="14"/>
      <c r="P7" s="273">
        <v>2</v>
      </c>
      <c r="Q7" s="635">
        <f>'地盤状態入力'!I7</f>
        <v>350</v>
      </c>
      <c r="R7" s="635"/>
      <c r="S7" s="623">
        <f>'地盤状態入力'!K7</f>
        <v>7.5</v>
      </c>
      <c r="T7" s="623"/>
      <c r="U7" s="613">
        <f>0.1*(S7-1)</f>
        <v>0.65</v>
      </c>
      <c r="V7" s="613"/>
      <c r="W7" s="606">
        <f>SUM(Z15:Z54)</f>
        <v>18.32402634952551</v>
      </c>
      <c r="X7" s="606"/>
      <c r="Y7" s="624">
        <f>SUM(AZ15:AZ54)</f>
        <v>12.51752350357884</v>
      </c>
      <c r="Z7" s="624"/>
      <c r="AB7" s="449"/>
      <c r="AC7" s="449"/>
      <c r="AD7" s="450"/>
      <c r="AE7" s="451"/>
      <c r="AF7" s="451"/>
      <c r="AG7" s="451"/>
      <c r="AH7" s="451"/>
    </row>
    <row r="8" spans="2:34" ht="12" customHeight="1">
      <c r="B8" s="15"/>
      <c r="C8" s="15"/>
      <c r="D8" s="11"/>
      <c r="E8" s="151"/>
      <c r="F8" s="160"/>
      <c r="G8" s="14"/>
      <c r="H8" s="7"/>
      <c r="I8" s="14"/>
      <c r="J8" s="16"/>
      <c r="K8" s="16"/>
      <c r="P8" s="273">
        <v>3</v>
      </c>
      <c r="Q8" s="635">
        <f>'地盤状態入力'!I8</f>
        <v>160</v>
      </c>
      <c r="R8" s="635"/>
      <c r="S8" s="623">
        <f>'地盤状態入力'!K8</f>
        <v>9</v>
      </c>
      <c r="T8" s="623"/>
      <c r="U8" s="613">
        <f>0.1*(S8-1)</f>
        <v>0.8</v>
      </c>
      <c r="V8" s="613"/>
      <c r="W8" s="606">
        <f>SUM(AG15:AG54)</f>
        <v>2.3270785873795687</v>
      </c>
      <c r="X8" s="606"/>
      <c r="Y8" s="624">
        <f>SUM(BA16:BA54)</f>
        <v>3.8955950458981814</v>
      </c>
      <c r="Z8" s="624"/>
      <c r="AB8" s="449"/>
      <c r="AC8" s="449"/>
      <c r="AD8" s="450"/>
      <c r="AE8" s="451"/>
      <c r="AF8" s="451"/>
      <c r="AG8" s="451"/>
      <c r="AH8" s="451"/>
    </row>
    <row r="9" spans="2:21" ht="12" customHeight="1">
      <c r="B9" s="15"/>
      <c r="C9" s="15"/>
      <c r="D9" s="11"/>
      <c r="E9" s="151"/>
      <c r="F9" s="160"/>
      <c r="G9" s="14"/>
      <c r="H9" s="7"/>
      <c r="I9" s="14"/>
      <c r="N9" s="17"/>
      <c r="O9" s="18"/>
      <c r="P9" s="7"/>
      <c r="R9" s="7"/>
      <c r="S9" s="7"/>
      <c r="U9" s="18"/>
    </row>
    <row r="10" spans="2:19" ht="12" customHeight="1" thickBot="1">
      <c r="B10" s="15"/>
      <c r="C10" s="15"/>
      <c r="D10" s="11"/>
      <c r="E10" s="151"/>
      <c r="F10" s="160"/>
      <c r="G10" s="14"/>
      <c r="H10" s="7"/>
      <c r="I10" s="14"/>
      <c r="J10" s="14"/>
      <c r="K10" s="14"/>
      <c r="O10" s="7"/>
      <c r="P10" s="7"/>
      <c r="R10" s="7"/>
      <c r="S10" s="7"/>
    </row>
    <row r="11" spans="2:53" ht="13.5" customHeight="1">
      <c r="B11" s="58"/>
      <c r="C11" s="59"/>
      <c r="D11" s="60"/>
      <c r="E11" s="152"/>
      <c r="F11" s="152"/>
      <c r="G11" s="60"/>
      <c r="H11" s="61"/>
      <c r="I11" s="60" t="s">
        <v>47</v>
      </c>
      <c r="J11" s="60" t="s">
        <v>47</v>
      </c>
      <c r="K11" s="331" t="s">
        <v>145</v>
      </c>
      <c r="L11" s="60" t="s">
        <v>47</v>
      </c>
      <c r="M11" s="62"/>
      <c r="N11" s="61"/>
      <c r="O11" s="63"/>
      <c r="P11" s="617" t="str">
        <f>$Q$6&amp;"gal, M"&amp;$S$6</f>
        <v>200gal, M9</v>
      </c>
      <c r="Q11" s="618"/>
      <c r="R11" s="618"/>
      <c r="S11" s="618"/>
      <c r="T11" s="618"/>
      <c r="U11" s="618"/>
      <c r="V11" s="632"/>
      <c r="W11" s="614" t="str">
        <f>$Q$7&amp;"gal, M"&amp;$S$7</f>
        <v>350gal, M7.5</v>
      </c>
      <c r="X11" s="615"/>
      <c r="Y11" s="615"/>
      <c r="Z11" s="615"/>
      <c r="AA11" s="615"/>
      <c r="AB11" s="615"/>
      <c r="AC11" s="616"/>
      <c r="AD11" s="617" t="str">
        <f>$Q$8&amp;"gal, M"&amp;$S$8</f>
        <v>160gal, M9</v>
      </c>
      <c r="AE11" s="618"/>
      <c r="AF11" s="618"/>
      <c r="AG11" s="618"/>
      <c r="AH11" s="618"/>
      <c r="AI11" s="618"/>
      <c r="AJ11" s="619"/>
      <c r="AK11" s="434"/>
      <c r="AL11" s="620" t="s">
        <v>69</v>
      </c>
      <c r="AM11" s="621"/>
      <c r="AN11" s="621"/>
      <c r="AO11" s="621"/>
      <c r="AP11" s="621"/>
      <c r="AQ11" s="621"/>
      <c r="AR11" s="621"/>
      <c r="AS11" s="621"/>
      <c r="AT11" s="621"/>
      <c r="AU11" s="621"/>
      <c r="AV11" s="622"/>
      <c r="AW11" s="435"/>
      <c r="AX11" s="436"/>
      <c r="AY11" s="437"/>
      <c r="AZ11" s="437"/>
      <c r="BA11" s="438"/>
    </row>
    <row r="12" spans="2:53" ht="12" customHeight="1">
      <c r="B12" s="551" t="s">
        <v>0</v>
      </c>
      <c r="C12" s="578" t="s">
        <v>46</v>
      </c>
      <c r="D12" s="65" t="s">
        <v>5</v>
      </c>
      <c r="E12" s="153"/>
      <c r="F12" s="158"/>
      <c r="G12" s="66" t="s">
        <v>58</v>
      </c>
      <c r="H12" s="67" t="s">
        <v>28</v>
      </c>
      <c r="I12" s="65" t="s">
        <v>7</v>
      </c>
      <c r="J12" s="65" t="s">
        <v>70</v>
      </c>
      <c r="K12" s="65" t="s">
        <v>143</v>
      </c>
      <c r="L12" s="68"/>
      <c r="M12" s="69" t="s">
        <v>12</v>
      </c>
      <c r="N12" s="67" t="s">
        <v>16</v>
      </c>
      <c r="O12" s="70" t="s">
        <v>16</v>
      </c>
      <c r="P12" s="71" t="s">
        <v>18</v>
      </c>
      <c r="Q12" s="72" t="s">
        <v>20</v>
      </c>
      <c r="R12" s="72" t="s">
        <v>18</v>
      </c>
      <c r="S12" s="72" t="s">
        <v>193</v>
      </c>
      <c r="T12" s="317" t="s">
        <v>18</v>
      </c>
      <c r="U12" s="317" t="s">
        <v>20</v>
      </c>
      <c r="V12" s="322" t="s">
        <v>165</v>
      </c>
      <c r="W12" s="95" t="s">
        <v>18</v>
      </c>
      <c r="X12" s="317" t="s">
        <v>20</v>
      </c>
      <c r="Y12" s="317" t="s">
        <v>18</v>
      </c>
      <c r="Z12" s="432" t="s">
        <v>193</v>
      </c>
      <c r="AA12" s="432" t="s">
        <v>18</v>
      </c>
      <c r="AB12" s="317" t="s">
        <v>20</v>
      </c>
      <c r="AC12" s="317" t="s">
        <v>165</v>
      </c>
      <c r="AD12" s="95" t="s">
        <v>18</v>
      </c>
      <c r="AE12" s="317" t="s">
        <v>20</v>
      </c>
      <c r="AF12" s="317" t="s">
        <v>18</v>
      </c>
      <c r="AG12" s="317" t="s">
        <v>193</v>
      </c>
      <c r="AH12" s="317" t="s">
        <v>18</v>
      </c>
      <c r="AI12" s="431" t="s">
        <v>20</v>
      </c>
      <c r="AJ12" s="433" t="s">
        <v>165</v>
      </c>
      <c r="AL12" s="294" t="s">
        <v>49</v>
      </c>
      <c r="AM12" s="40" t="s">
        <v>53</v>
      </c>
      <c r="AN12" s="625" t="str">
        <f>P11</f>
        <v>200gal, M9</v>
      </c>
      <c r="AO12" s="626"/>
      <c r="AP12" s="627"/>
      <c r="AQ12" s="625" t="str">
        <f>W11</f>
        <v>350gal, M7.5</v>
      </c>
      <c r="AR12" s="626"/>
      <c r="AS12" s="627"/>
      <c r="AT12" s="625" t="str">
        <f>AD11</f>
        <v>160gal, M9</v>
      </c>
      <c r="AU12" s="626"/>
      <c r="AV12" s="627"/>
      <c r="AW12" s="40"/>
      <c r="AX12" s="40"/>
      <c r="AY12" s="40" t="s">
        <v>80</v>
      </c>
      <c r="AZ12" s="41" t="s">
        <v>81</v>
      </c>
      <c r="BA12" s="42" t="s">
        <v>84</v>
      </c>
    </row>
    <row r="13" spans="2:53" ht="12" customHeight="1">
      <c r="B13" s="551"/>
      <c r="C13" s="578"/>
      <c r="D13" s="65" t="s">
        <v>6</v>
      </c>
      <c r="E13" s="153" t="s">
        <v>13</v>
      </c>
      <c r="F13" s="158" t="s">
        <v>14</v>
      </c>
      <c r="G13" s="66" t="s">
        <v>59</v>
      </c>
      <c r="H13" s="64" t="s">
        <v>82</v>
      </c>
      <c r="I13" s="65" t="s">
        <v>8</v>
      </c>
      <c r="J13" s="65" t="s">
        <v>9</v>
      </c>
      <c r="K13" s="65" t="s">
        <v>144</v>
      </c>
      <c r="L13" s="68" t="s">
        <v>15</v>
      </c>
      <c r="M13" s="76" t="s">
        <v>1</v>
      </c>
      <c r="N13" s="64" t="s">
        <v>1</v>
      </c>
      <c r="O13" s="77" t="s">
        <v>1</v>
      </c>
      <c r="P13" s="71" t="s">
        <v>19</v>
      </c>
      <c r="Q13" s="72" t="s">
        <v>21</v>
      </c>
      <c r="R13" s="72" t="s">
        <v>23</v>
      </c>
      <c r="S13" s="72" t="s">
        <v>194</v>
      </c>
      <c r="T13" s="72" t="s">
        <v>25</v>
      </c>
      <c r="U13" s="72" t="s">
        <v>173</v>
      </c>
      <c r="V13" s="73" t="s">
        <v>166</v>
      </c>
      <c r="W13" s="71" t="s">
        <v>19</v>
      </c>
      <c r="X13" s="72" t="s">
        <v>21</v>
      </c>
      <c r="Y13" s="72" t="s">
        <v>23</v>
      </c>
      <c r="Z13" s="90" t="s">
        <v>194</v>
      </c>
      <c r="AA13" s="90" t="s">
        <v>25</v>
      </c>
      <c r="AB13" s="72" t="s">
        <v>173</v>
      </c>
      <c r="AC13" s="72" t="s">
        <v>166</v>
      </c>
      <c r="AD13" s="71" t="s">
        <v>19</v>
      </c>
      <c r="AE13" s="72" t="s">
        <v>21</v>
      </c>
      <c r="AF13" s="72" t="s">
        <v>23</v>
      </c>
      <c r="AG13" s="72" t="s">
        <v>194</v>
      </c>
      <c r="AH13" s="72" t="s">
        <v>25</v>
      </c>
      <c r="AI13" s="74" t="s">
        <v>173</v>
      </c>
      <c r="AJ13" s="326" t="s">
        <v>166</v>
      </c>
      <c r="AL13" s="294" t="s">
        <v>50</v>
      </c>
      <c r="AM13" s="43" t="s">
        <v>83</v>
      </c>
      <c r="AN13" s="40"/>
      <c r="AO13" s="40" t="s">
        <v>73</v>
      </c>
      <c r="AP13" s="40" t="s">
        <v>74</v>
      </c>
      <c r="AQ13" s="40"/>
      <c r="AR13" s="40" t="s">
        <v>73</v>
      </c>
      <c r="AS13" s="40" t="s">
        <v>74</v>
      </c>
      <c r="AT13" s="40"/>
      <c r="AU13" s="40" t="s">
        <v>73</v>
      </c>
      <c r="AV13" s="40" t="s">
        <v>74</v>
      </c>
      <c r="AW13" s="40" t="s">
        <v>76</v>
      </c>
      <c r="AX13" s="40" t="s">
        <v>77</v>
      </c>
      <c r="AY13" s="44"/>
      <c r="AZ13" s="45"/>
      <c r="BA13" s="46"/>
    </row>
    <row r="14" spans="2:53" ht="13.5">
      <c r="B14" s="78" t="s">
        <v>2</v>
      </c>
      <c r="C14" s="79"/>
      <c r="D14" s="79" t="s">
        <v>10</v>
      </c>
      <c r="E14" s="154"/>
      <c r="F14" s="159" t="s">
        <v>45</v>
      </c>
      <c r="G14" s="80" t="s">
        <v>60</v>
      </c>
      <c r="H14" s="81" t="s">
        <v>29</v>
      </c>
      <c r="I14" s="82" t="s">
        <v>71</v>
      </c>
      <c r="J14" s="82" t="s">
        <v>71</v>
      </c>
      <c r="K14" s="82" t="s">
        <v>146</v>
      </c>
      <c r="L14" s="83"/>
      <c r="M14" s="81"/>
      <c r="N14" s="81" t="s">
        <v>17</v>
      </c>
      <c r="O14" s="84"/>
      <c r="P14" s="85"/>
      <c r="Q14" s="86" t="s">
        <v>22</v>
      </c>
      <c r="R14" s="86" t="s">
        <v>24</v>
      </c>
      <c r="S14" s="86" t="s">
        <v>196</v>
      </c>
      <c r="T14" s="86" t="s">
        <v>26</v>
      </c>
      <c r="U14" s="86" t="s">
        <v>195</v>
      </c>
      <c r="V14" s="87" t="s">
        <v>167</v>
      </c>
      <c r="W14" s="88"/>
      <c r="X14" s="86" t="s">
        <v>22</v>
      </c>
      <c r="Y14" s="86" t="s">
        <v>24</v>
      </c>
      <c r="Z14" s="91" t="s">
        <v>196</v>
      </c>
      <c r="AA14" s="91" t="s">
        <v>26</v>
      </c>
      <c r="AB14" s="86" t="s">
        <v>172</v>
      </c>
      <c r="AC14" s="86" t="s">
        <v>168</v>
      </c>
      <c r="AD14" s="85"/>
      <c r="AE14" s="86" t="s">
        <v>22</v>
      </c>
      <c r="AF14" s="86" t="s">
        <v>24</v>
      </c>
      <c r="AG14" s="86" t="s">
        <v>196</v>
      </c>
      <c r="AH14" s="86" t="s">
        <v>26</v>
      </c>
      <c r="AI14" s="88" t="s">
        <v>172</v>
      </c>
      <c r="AJ14" s="327" t="s">
        <v>168</v>
      </c>
      <c r="AL14" s="295" t="s">
        <v>48</v>
      </c>
      <c r="AM14" s="47" t="s">
        <v>54</v>
      </c>
      <c r="AN14" s="47" t="s">
        <v>85</v>
      </c>
      <c r="AO14" s="47" t="s">
        <v>72</v>
      </c>
      <c r="AP14" s="47" t="s">
        <v>75</v>
      </c>
      <c r="AQ14" s="47" t="s">
        <v>85</v>
      </c>
      <c r="AR14" s="47" t="s">
        <v>72</v>
      </c>
      <c r="AS14" s="47" t="s">
        <v>75</v>
      </c>
      <c r="AT14" s="47" t="s">
        <v>85</v>
      </c>
      <c r="AU14" s="47" t="s">
        <v>72</v>
      </c>
      <c r="AV14" s="47" t="s">
        <v>75</v>
      </c>
      <c r="AW14" s="47" t="s">
        <v>86</v>
      </c>
      <c r="AX14" s="47" t="s">
        <v>87</v>
      </c>
      <c r="AY14" s="304"/>
      <c r="AZ14" s="48"/>
      <c r="BA14" s="49"/>
    </row>
    <row r="15" spans="1:53" ht="13.5">
      <c r="A15" s="19">
        <f>IF('地盤状態入力'!L16="○",1,"")</f>
      </c>
      <c r="B15" s="163">
        <f>'地盤状態入力'!B16</f>
        <v>0.5</v>
      </c>
      <c r="C15" s="164" t="str">
        <f>IF('地盤状態入力'!C16="","",'地盤状態入力'!C16)</f>
        <v>表土</v>
      </c>
      <c r="D15" s="165">
        <f>IF('地盤状態入力'!D16="","",'地盤状態入力'!D16)</f>
        <v>66</v>
      </c>
      <c r="E15" s="166">
        <f>IF('地盤状態入力'!E16="","",'地盤状態入力'!E16)</f>
        <v>2</v>
      </c>
      <c r="F15" s="166">
        <f>IF('地盤状態入力'!G16="","",'地盤状態入力'!G16)</f>
        <v>100</v>
      </c>
      <c r="G15" s="167">
        <f>IF('地盤状態入力'!H16="","",'地盤状態入力'!H16)</f>
      </c>
      <c r="H15" s="167">
        <f>IF('地盤状態入力'!I16="","",'地盤状態入力'!I16)</f>
      </c>
      <c r="I15" s="24">
        <f>IF(E15="","",B15*'地盤状態入力'!F16)</f>
        <v>7.84</v>
      </c>
      <c r="J15" s="24">
        <f>IF($E15="","",$I15-9.8*MAX($B15-$D$7,0))</f>
        <v>7.84</v>
      </c>
      <c r="K15" s="24">
        <f>IF($E15="","",$I15-9.8*MAX($B15-$D$6,0))</f>
        <v>7.84</v>
      </c>
      <c r="L15" s="25">
        <f>IF(E15="","",1-0.015*$B15)</f>
        <v>0.9925</v>
      </c>
      <c r="M15" s="24">
        <f>IF(K15="","",E15*SQRT(98/K15))</f>
        <v>7.0710678118654755</v>
      </c>
      <c r="N15" s="24">
        <f>IF(E15="","",MAX(MIN(MIN(0.1*'地盤状態入力'!D16+6,0.2*'地盤状態入力'!D16+4),1.2*'地盤状態入力'!D16-6),0))</f>
        <v>12.600000000000001</v>
      </c>
      <c r="O15" s="26">
        <f aca="true" t="shared" si="0" ref="O15:O54">IF(E15="","",M15*AL15+N15)</f>
        <v>19.671067811865477</v>
      </c>
      <c r="P15" s="440">
        <f>IF(E15="","",0.45*0.57*(0.16*SQRT($O15)+(0.2*SQRT($O15))^14)*$AM15)</f>
        <v>0.22991732456389444</v>
      </c>
      <c r="Q15" s="28">
        <f aca="true" t="shared" si="1" ref="Q15:Q54">IF($E15="","",$U$6*($Q$6/$AL$6)*($I15/$J15)*$L15)</f>
        <v>0.16193093462089503</v>
      </c>
      <c r="R15" s="28">
        <f aca="true" t="shared" si="2" ref="R15:R54">IF($A15=1,IF($E15="","",P15/Q15),"")</f>
      </c>
      <c r="S15" s="101">
        <f>IF(R15="","",IF(R15&lt;=1,(1-R15)*(10-0.5*B15)*0.5,""))</f>
      </c>
      <c r="T15" s="318">
        <f aca="true" t="shared" si="3" ref="T15:T54">IF(AND($A15=1,R15&lt;1),"×","")</f>
      </c>
      <c r="U15" s="28">
        <f>IF($T15="","",CalcGammaCY($O15,Q15))</f>
      </c>
      <c r="V15" s="323">
        <f>IF($T15="","",U15*$B15)</f>
      </c>
      <c r="W15" s="440">
        <f aca="true" t="shared" si="4" ref="W15:W54">IF(E15="","",0.45*0.57*(0.16*SQRT($O15)+(0.2*SQRT($O15))^14)*$AM15)</f>
        <v>0.22991732456389444</v>
      </c>
      <c r="X15" s="28">
        <f aca="true" t="shared" si="5" ref="X15:X54">IF($E15="","",$U$7*($Q$7/$AL$6)*($I15/$J15)*$L15)</f>
        <v>0.23024554766408514</v>
      </c>
      <c r="Y15" s="28">
        <f aca="true" t="shared" si="6" ref="Y15:Y54">IF($A15=1,IF($E15="","",W15/X15),"")</f>
      </c>
      <c r="Z15" s="102">
        <f>IF(Y15="","",IF(Y15&lt;=1,(1-Y15)*(10-0.5*B15)*0.5,""))</f>
      </c>
      <c r="AA15" s="92">
        <f aca="true" t="shared" si="7" ref="AA15:AA54">IF(AND($A15=1,Y15&lt;1),"×","")</f>
      </c>
      <c r="AB15" s="28">
        <f>IF($AA15="","",CalcGammaCY($O15,X15))</f>
      </c>
      <c r="AC15" s="28">
        <f>IF($AA15="","",AB15*$B15)</f>
      </c>
      <c r="AD15" s="440">
        <f aca="true" t="shared" si="8" ref="AD15:AD54">IF(L15="","",0.45*0.57*(0.16*SQRT($O15)+(0.2*SQRT($O15))^14)*$AM15)</f>
        <v>0.22991732456389444</v>
      </c>
      <c r="AE15" s="28">
        <f aca="true" t="shared" si="9" ref="AE15:AE54">IF($E15="","",$U$8*($Q$8/$AL$6)*($I15/$J15)*$L15)</f>
        <v>0.129544747696716</v>
      </c>
      <c r="AF15" s="28">
        <f aca="true" t="shared" si="10" ref="AF15:AF53">IF($A15=1,IF($E15="","",AD15/AE15),"")</f>
      </c>
      <c r="AG15" s="101">
        <f>IF(AF15="","",IF(AF15&lt;=1,(1-AF15)*(10-0.5*B15)*0.5,""))</f>
      </c>
      <c r="AH15" s="318">
        <f aca="true" t="shared" si="11" ref="AH15:AH54">IF(AND($A15=1,AF15&lt;1),"×","")</f>
      </c>
      <c r="AI15" s="30">
        <f>IF($AH15="","",CalcGammaCY($O15,AE15))</f>
      </c>
      <c r="AJ15" s="328">
        <f>IF($AH15="","",AI15*$B15)</f>
      </c>
      <c r="AL15" s="296">
        <f aca="true" t="shared" si="12" ref="AL15:AL54">MIN(1,1.15+(0.4-1.15)/(1+LOG10(50))*(1+LOG10(MAX(G15,0.01))))</f>
        <v>1</v>
      </c>
      <c r="AM15" s="44">
        <f aca="true" t="shared" si="13" ref="AM15:AM54">IF(H15="",1,-F15/10+11)</f>
        <v>1</v>
      </c>
      <c r="AN15" s="50">
        <f aca="true" t="shared" si="14" ref="AN15:AN54">IF($R15&lt;&gt;"",$R15-1,"")</f>
      </c>
      <c r="AO15" s="51">
        <f aca="true" t="shared" si="15" ref="AO15:AO54">IF($A15=1,(IF(0&lt;=$AN15,$AN15,0)),"")</f>
      </c>
      <c r="AP15" s="51">
        <f aca="true" t="shared" si="16" ref="AP15:AP54">IF($A15=1,(IF($AN15&lt;=0,$AN15,0)),"")</f>
      </c>
      <c r="AQ15" s="50">
        <f aca="true" t="shared" si="17" ref="AQ15:AQ54">IF($Y15&lt;&gt;"",$Y15-1,"")</f>
      </c>
      <c r="AR15" s="51">
        <f aca="true" t="shared" si="18" ref="AR15:AR54">IF($A15=1,(IF(0&lt;=$AQ15,$AQ15,0)),"")</f>
      </c>
      <c r="AS15" s="51">
        <f aca="true" t="shared" si="19" ref="AS15:AS54">IF($A15=1,(IF($AQ15&lt;=0,$AQ15,0)),"")</f>
      </c>
      <c r="AT15" s="50">
        <f aca="true" t="shared" si="20" ref="AT15:AT54">IF($AF15&lt;&gt;"",$AF15-1,"")</f>
      </c>
      <c r="AU15" s="51">
        <f aca="true" t="shared" si="21" ref="AU15:AU54">IF($A15=1,(IF(0&lt;=$AT15,$AT15,0)),"")</f>
      </c>
      <c r="AV15" s="51">
        <f aca="true" t="shared" si="22" ref="AV15:AV54">IF($A15=1,(IF($AT15&lt;=0,$AT15,0)),"")</f>
      </c>
      <c r="AW15" s="52">
        <f>$D$6</f>
        <v>1</v>
      </c>
      <c r="AX15" s="52">
        <f>$D$7</f>
        <v>3</v>
      </c>
      <c r="AY15" s="44">
        <f aca="true" t="shared" si="23" ref="AY15:AY54">IF(T15="×",V15,"")</f>
      </c>
      <c r="AZ15" s="45">
        <f aca="true" t="shared" si="24" ref="AZ15:AZ54">IF(AA15="×",AC15,"")</f>
      </c>
      <c r="BA15" s="46">
        <f>IF(AH15="×",AJ15,"")</f>
      </c>
    </row>
    <row r="16" spans="1:53" ht="13.5">
      <c r="A16" s="19">
        <f>IF('地盤状態入力'!L17="○",1,"")</f>
      </c>
      <c r="B16" s="163">
        <f>'地盤状態入力'!B17</f>
        <v>1</v>
      </c>
      <c r="C16" s="164" t="str">
        <f>IF('地盤状態入力'!C17="","",'地盤状態入力'!C17)</f>
        <v>表土</v>
      </c>
      <c r="D16" s="165">
        <f>IF('地盤状態入力'!D17="","",'地盤状態入力'!D17)</f>
        <v>66</v>
      </c>
      <c r="E16" s="166">
        <f>IF('地盤状態入力'!E17="","",'地盤状態入力'!E17)</f>
        <v>2</v>
      </c>
      <c r="F16" s="166">
        <f>IF('地盤状態入力'!G17="","",'地盤状態入力'!G17)</f>
        <v>100</v>
      </c>
      <c r="G16" s="167">
        <f>IF('地盤状態入力'!H17="","",'地盤状態入力'!H17)</f>
      </c>
      <c r="H16" s="167">
        <f>IF('地盤状態入力'!I17="","",'地盤状態入力'!I17)</f>
      </c>
      <c r="I16" s="24">
        <f>IF(E16="","",I15+(B16-B15)*'地盤状態入力'!F17)</f>
        <v>15.68</v>
      </c>
      <c r="J16" s="24">
        <f aca="true" t="shared" si="25" ref="J16:J54">IF($E16="","",$I16-9.8*MAX($B16-$D$7,0))</f>
        <v>15.68</v>
      </c>
      <c r="K16" s="24">
        <f aca="true" t="shared" si="26" ref="K16:K54">IF($E16="","",$I16-9.8*MAX($B16-$D$6,0))</f>
        <v>15.68</v>
      </c>
      <c r="L16" s="25">
        <f aca="true" t="shared" si="27" ref="L16:L54">IF(E16="","",1-0.015*$B16)</f>
        <v>0.985</v>
      </c>
      <c r="M16" s="24">
        <f aca="true" t="shared" si="28" ref="M16:M54">IF(K16="","",E16*SQRT(98/K16))</f>
        <v>5</v>
      </c>
      <c r="N16" s="24">
        <f>IF(E16="","",MAX(MIN(MIN(0.1*'地盤状態入力'!D17+6,0.2*'地盤状態入力'!D17+4),1.2*'地盤状態入力'!D17-6),0))</f>
        <v>12.600000000000001</v>
      </c>
      <c r="O16" s="26">
        <f t="shared" si="0"/>
        <v>17.6</v>
      </c>
      <c r="P16" s="27">
        <f aca="true" t="shared" si="29" ref="P16:P34">IF(E16="","",0.45*0.57*(0.16*SQRT(O16)+(0.2*SQRT(O16))^14)*AM16)</f>
        <v>0.19415591727135234</v>
      </c>
      <c r="Q16" s="28">
        <f t="shared" si="1"/>
        <v>0.16070727516532152</v>
      </c>
      <c r="R16" s="28">
        <f t="shared" si="2"/>
      </c>
      <c r="S16" s="101">
        <f aca="true" t="shared" si="30" ref="S16:S54">IF(R16="","",IF(R16&lt;=1,(1-R16)*(10-0.5*B16)*0.5,""))</f>
      </c>
      <c r="T16" s="318">
        <f t="shared" si="3"/>
      </c>
      <c r="U16" s="28">
        <f>IF($T16="","",CalcGammaCY($O16,Q16))</f>
      </c>
      <c r="V16" s="323">
        <f aca="true" t="shared" si="31" ref="V16:V54">IF($T16="","",($B16-$B15)*U16)</f>
      </c>
      <c r="W16" s="27">
        <f t="shared" si="4"/>
        <v>0.19415591727135234</v>
      </c>
      <c r="X16" s="28">
        <f t="shared" si="5"/>
        <v>0.22850565687569152</v>
      </c>
      <c r="Y16" s="28">
        <f t="shared" si="6"/>
      </c>
      <c r="Z16" s="102">
        <f aca="true" t="shared" si="32" ref="Z16:Z53">IF(Y16="","",IF(Y16&lt;=1,(1-Y16)*(10-0.5*B16)*0.5,""))</f>
      </c>
      <c r="AA16" s="92">
        <f t="shared" si="7"/>
      </c>
      <c r="AB16" s="28">
        <f>IF($AA16="","",CalcGammaCY($O16,X16))</f>
      </c>
      <c r="AC16" s="28">
        <f aca="true" t="shared" si="33" ref="AC16:AC54">IF($AA16="","",($B16-$B15)*AB16)</f>
      </c>
      <c r="AD16" s="27">
        <f t="shared" si="8"/>
        <v>0.19415591727135234</v>
      </c>
      <c r="AE16" s="28">
        <f t="shared" si="9"/>
        <v>0.12856582013225717</v>
      </c>
      <c r="AF16" s="28">
        <f t="shared" si="10"/>
      </c>
      <c r="AG16" s="101">
        <f aca="true" t="shared" si="34" ref="AG16:AG54">IF(AF16="","",IF(AF16&lt;=1,(1-AF16)*(10-0.5*B16)*0.5,""))</f>
      </c>
      <c r="AH16" s="318">
        <f t="shared" si="11"/>
      </c>
      <c r="AI16" s="30">
        <f>IF($AH16="","",CalcGammaCY($O16,AE16))</f>
      </c>
      <c r="AJ16" s="328">
        <f aca="true" t="shared" si="35" ref="AJ16:AJ54">IF($AH16="","",($B16-$B15)*AI16)</f>
      </c>
      <c r="AL16" s="296">
        <f t="shared" si="12"/>
        <v>1</v>
      </c>
      <c r="AM16" s="44">
        <f t="shared" si="13"/>
        <v>1</v>
      </c>
      <c r="AN16" s="50">
        <f t="shared" si="14"/>
      </c>
      <c r="AO16" s="51">
        <f t="shared" si="15"/>
      </c>
      <c r="AP16" s="51">
        <f t="shared" si="16"/>
      </c>
      <c r="AQ16" s="50">
        <f t="shared" si="17"/>
      </c>
      <c r="AR16" s="51">
        <f t="shared" si="18"/>
      </c>
      <c r="AS16" s="51">
        <f t="shared" si="19"/>
      </c>
      <c r="AT16" s="50">
        <f t="shared" si="20"/>
      </c>
      <c r="AU16" s="51">
        <f t="shared" si="21"/>
      </c>
      <c r="AV16" s="51">
        <f t="shared" si="22"/>
      </c>
      <c r="AW16" s="52">
        <f aca="true" t="shared" si="36" ref="AW16:AW54">$D$6</f>
        <v>1</v>
      </c>
      <c r="AX16" s="52">
        <f aca="true" t="shared" si="37" ref="AX16:AX54">$D$7</f>
        <v>3</v>
      </c>
      <c r="AY16" s="44">
        <f t="shared" si="23"/>
      </c>
      <c r="AZ16" s="45">
        <f t="shared" si="24"/>
      </c>
      <c r="BA16" s="46">
        <f aca="true" t="shared" si="38" ref="BA16:BA54">IF(AH16="×",AJ16,"")</f>
      </c>
    </row>
    <row r="17" spans="1:53" ht="13.5">
      <c r="A17" s="19">
        <f>IF('地盤状態入力'!L18="○",1,"")</f>
      </c>
      <c r="B17" s="163">
        <f>'地盤状態入力'!B18</f>
        <v>1.5</v>
      </c>
      <c r="C17" s="164" t="str">
        <f>IF('地盤状態入力'!C18="","",'地盤状態入力'!C18)</f>
        <v>砂質土</v>
      </c>
      <c r="D17" s="165">
        <f>IF('地盤状態入力'!D18="","",'地盤状態入力'!D18)</f>
        <v>21</v>
      </c>
      <c r="E17" s="166">
        <f>IF('地盤状態入力'!E18="","",'地盤状態入力'!E18)</f>
        <v>4</v>
      </c>
      <c r="F17" s="166">
        <f>IF('地盤状態入力'!G18="","",'地盤状態入力'!G18)</f>
        <v>100</v>
      </c>
      <c r="G17" s="167">
        <f>IF('地盤状態入力'!H18="","",'地盤状態入力'!H18)</f>
      </c>
      <c r="H17" s="167">
        <f>IF('地盤状態入力'!I18="","",'地盤状態入力'!I18)</f>
      </c>
      <c r="I17" s="24">
        <f>IF(E17="","",I16+(B17-B16)*'地盤状態入力'!F18)</f>
        <v>23.52</v>
      </c>
      <c r="J17" s="24">
        <f t="shared" si="25"/>
        <v>23.52</v>
      </c>
      <c r="K17" s="24">
        <f t="shared" si="26"/>
        <v>18.619999999999997</v>
      </c>
      <c r="L17" s="25">
        <f t="shared" si="27"/>
        <v>0.9775</v>
      </c>
      <c r="M17" s="24">
        <f t="shared" si="28"/>
        <v>9.17662935482247</v>
      </c>
      <c r="N17" s="24">
        <f>IF(E17="","",MAX(MIN(MIN(0.1*'地盤状態入力'!D18+6,0.2*'地盤状態入力'!D18+4),1.2*'地盤状態入力'!D18-6),0))</f>
        <v>8.1</v>
      </c>
      <c r="O17" s="26">
        <f t="shared" si="0"/>
        <v>17.276629354822468</v>
      </c>
      <c r="P17" s="27">
        <f t="shared" si="29"/>
        <v>0.1898906869517397</v>
      </c>
      <c r="Q17" s="28">
        <f t="shared" si="1"/>
        <v>0.159483615709748</v>
      </c>
      <c r="R17" s="28">
        <f t="shared" si="2"/>
      </c>
      <c r="S17" s="101">
        <f t="shared" si="30"/>
      </c>
      <c r="T17" s="318">
        <f t="shared" si="3"/>
      </c>
      <c r="U17" s="28">
        <f>IF($T17="","",CalcGammaCY($O17,Q17))</f>
      </c>
      <c r="V17" s="323">
        <f t="shared" si="31"/>
      </c>
      <c r="W17" s="27">
        <f t="shared" si="4"/>
        <v>0.1898906869517397</v>
      </c>
      <c r="X17" s="28">
        <f t="shared" si="5"/>
        <v>0.22676576608729795</v>
      </c>
      <c r="Y17" s="28">
        <f t="shared" si="6"/>
      </c>
      <c r="Z17" s="102">
        <f t="shared" si="32"/>
      </c>
      <c r="AA17" s="92">
        <f t="shared" si="7"/>
      </c>
      <c r="AB17" s="28">
        <f>IF($AA17="","",CalcGammaCY($O17,X17))</f>
      </c>
      <c r="AC17" s="28">
        <f t="shared" si="33"/>
      </c>
      <c r="AD17" s="27">
        <f t="shared" si="8"/>
        <v>0.1898906869517397</v>
      </c>
      <c r="AE17" s="28">
        <f t="shared" si="9"/>
        <v>0.12758689256779837</v>
      </c>
      <c r="AF17" s="28">
        <f t="shared" si="10"/>
      </c>
      <c r="AG17" s="101">
        <f t="shared" si="34"/>
      </c>
      <c r="AH17" s="318">
        <f t="shared" si="11"/>
      </c>
      <c r="AI17" s="30">
        <f>IF($AH17="","",CalcGammaCY($O17,AE17))</f>
      </c>
      <c r="AJ17" s="328">
        <f t="shared" si="35"/>
      </c>
      <c r="AL17" s="296">
        <f t="shared" si="12"/>
        <v>1</v>
      </c>
      <c r="AM17" s="44">
        <f t="shared" si="13"/>
        <v>1</v>
      </c>
      <c r="AN17" s="50">
        <f t="shared" si="14"/>
      </c>
      <c r="AO17" s="51">
        <f t="shared" si="15"/>
      </c>
      <c r="AP17" s="51">
        <f t="shared" si="16"/>
      </c>
      <c r="AQ17" s="50">
        <f t="shared" si="17"/>
      </c>
      <c r="AR17" s="51">
        <f t="shared" si="18"/>
      </c>
      <c r="AS17" s="51">
        <f t="shared" si="19"/>
      </c>
      <c r="AT17" s="50">
        <f t="shared" si="20"/>
      </c>
      <c r="AU17" s="51">
        <f t="shared" si="21"/>
      </c>
      <c r="AV17" s="51">
        <f t="shared" si="22"/>
      </c>
      <c r="AW17" s="52">
        <f t="shared" si="36"/>
        <v>1</v>
      </c>
      <c r="AX17" s="52">
        <f t="shared" si="37"/>
        <v>3</v>
      </c>
      <c r="AY17" s="44">
        <f t="shared" si="23"/>
      </c>
      <c r="AZ17" s="45">
        <f t="shared" si="24"/>
      </c>
      <c r="BA17" s="46">
        <f t="shared" si="38"/>
      </c>
    </row>
    <row r="18" spans="1:53" ht="13.5">
      <c r="A18" s="19">
        <f>IF('地盤状態入力'!L19="○",1,"")</f>
      </c>
      <c r="B18" s="163">
        <f>'地盤状態入力'!B19</f>
        <v>2</v>
      </c>
      <c r="C18" s="164" t="str">
        <f>IF('地盤状態入力'!C19="","",'地盤状態入力'!C19)</f>
        <v>砂質土</v>
      </c>
      <c r="D18" s="165">
        <f>IF('地盤状態入力'!D19="","",'地盤状態入力'!D19)</f>
        <v>21</v>
      </c>
      <c r="E18" s="166">
        <f>IF('地盤状態入力'!E19="","",'地盤状態入力'!E19)</f>
        <v>5</v>
      </c>
      <c r="F18" s="166">
        <f>IF('地盤状態入力'!G19="","",'地盤状態入力'!G19)</f>
        <v>100</v>
      </c>
      <c r="G18" s="167">
        <f>IF('地盤状態入力'!H19="","",'地盤状態入力'!H19)</f>
      </c>
      <c r="H18" s="167">
        <f>IF('地盤状態入力'!I19="","",'地盤状態入力'!I19)</f>
      </c>
      <c r="I18" s="24">
        <f>IF(E18="","",I17+(B18-B17)*'地盤状態入力'!F19)</f>
        <v>31.36</v>
      </c>
      <c r="J18" s="24">
        <f t="shared" si="25"/>
        <v>31.36</v>
      </c>
      <c r="K18" s="24">
        <f t="shared" si="26"/>
        <v>21.56</v>
      </c>
      <c r="L18" s="25">
        <f t="shared" si="27"/>
        <v>0.97</v>
      </c>
      <c r="M18" s="24">
        <f t="shared" si="28"/>
        <v>10.660035817780521</v>
      </c>
      <c r="N18" s="24">
        <f>IF(E18="","",MAX(MIN(MIN(0.1*'地盤状態入力'!D19+6,0.2*'地盤状態入力'!D19+4),1.2*'地盤状態入力'!D19-6),0))</f>
        <v>8.1</v>
      </c>
      <c r="O18" s="26">
        <f t="shared" si="0"/>
        <v>18.76003581778052</v>
      </c>
      <c r="P18" s="27">
        <f t="shared" si="29"/>
        <v>0.21212307026237454</v>
      </c>
      <c r="Q18" s="28">
        <f t="shared" si="1"/>
        <v>0.15825995625417447</v>
      </c>
      <c r="R18" s="28">
        <f t="shared" si="2"/>
      </c>
      <c r="S18" s="101">
        <f t="shared" si="30"/>
      </c>
      <c r="T18" s="318">
        <f t="shared" si="3"/>
      </c>
      <c r="U18" s="28">
        <f>IF($T18="","",CalcGammaCY($O18,Q18))</f>
      </c>
      <c r="V18" s="323">
        <f t="shared" si="31"/>
      </c>
      <c r="W18" s="27">
        <f t="shared" si="4"/>
        <v>0.21212307026237454</v>
      </c>
      <c r="X18" s="28">
        <f t="shared" si="5"/>
        <v>0.22502587529890433</v>
      </c>
      <c r="Y18" s="28">
        <f t="shared" si="6"/>
      </c>
      <c r="Z18" s="102">
        <f t="shared" si="32"/>
      </c>
      <c r="AA18" s="92">
        <f t="shared" si="7"/>
      </c>
      <c r="AB18" s="28">
        <f>IF($AA18="","",CalcGammaCY($O18,X18))</f>
      </c>
      <c r="AC18" s="28">
        <f t="shared" si="33"/>
      </c>
      <c r="AD18" s="27">
        <f t="shared" si="8"/>
        <v>0.21212307026237454</v>
      </c>
      <c r="AE18" s="28">
        <f t="shared" si="9"/>
        <v>0.12660796500333957</v>
      </c>
      <c r="AF18" s="28">
        <f t="shared" si="10"/>
      </c>
      <c r="AG18" s="101">
        <f t="shared" si="34"/>
      </c>
      <c r="AH18" s="318">
        <f t="shared" si="11"/>
      </c>
      <c r="AI18" s="30">
        <f>IF($AH18="","",CalcGammaCY($O18,AE18))</f>
      </c>
      <c r="AJ18" s="328">
        <f t="shared" si="35"/>
      </c>
      <c r="AL18" s="296">
        <f t="shared" si="12"/>
        <v>1</v>
      </c>
      <c r="AM18" s="44">
        <f t="shared" si="13"/>
        <v>1</v>
      </c>
      <c r="AN18" s="50">
        <f t="shared" si="14"/>
      </c>
      <c r="AO18" s="51">
        <f t="shared" si="15"/>
      </c>
      <c r="AP18" s="51">
        <f t="shared" si="16"/>
      </c>
      <c r="AQ18" s="50">
        <f t="shared" si="17"/>
      </c>
      <c r="AR18" s="51">
        <f t="shared" si="18"/>
      </c>
      <c r="AS18" s="51">
        <f t="shared" si="19"/>
      </c>
      <c r="AT18" s="50">
        <f t="shared" si="20"/>
      </c>
      <c r="AU18" s="51">
        <f t="shared" si="21"/>
      </c>
      <c r="AV18" s="51">
        <f t="shared" si="22"/>
      </c>
      <c r="AW18" s="52">
        <f t="shared" si="36"/>
        <v>1</v>
      </c>
      <c r="AX18" s="52">
        <f t="shared" si="37"/>
        <v>3</v>
      </c>
      <c r="AY18" s="44">
        <f t="shared" si="23"/>
      </c>
      <c r="AZ18" s="45">
        <f t="shared" si="24"/>
      </c>
      <c r="BA18" s="46">
        <f t="shared" si="38"/>
      </c>
    </row>
    <row r="19" spans="1:53" ht="13.5">
      <c r="A19" s="19">
        <f>IF('地盤状態入力'!L20="○",1,"")</f>
      </c>
      <c r="B19" s="163">
        <f>'地盤状態入力'!B20</f>
        <v>2.5</v>
      </c>
      <c r="C19" s="164" t="str">
        <f>IF('地盤状態入力'!C20="","",'地盤状態入力'!C20)</f>
        <v>砂質土</v>
      </c>
      <c r="D19" s="165">
        <f>IF('地盤状態入力'!D20="","",'地盤状態入力'!D20)</f>
        <v>21</v>
      </c>
      <c r="E19" s="166">
        <f>IF('地盤状態入力'!E20="","",'地盤状態入力'!E20)</f>
        <v>5</v>
      </c>
      <c r="F19" s="166">
        <f>IF('地盤状態入力'!G20="","",'地盤状態入力'!G20)</f>
        <v>100</v>
      </c>
      <c r="G19" s="167">
        <f>IF('地盤状態入力'!H20="","",'地盤状態入力'!H20)</f>
      </c>
      <c r="H19" s="167">
        <f>IF('地盤状態入力'!I20="","",'地盤状態入力'!I20)</f>
      </c>
      <c r="I19" s="24">
        <f>IF(E19="","",I18+(B19-B18)*'地盤状態入力'!F20)</f>
        <v>39.345</v>
      </c>
      <c r="J19" s="24">
        <f t="shared" si="25"/>
        <v>39.345</v>
      </c>
      <c r="K19" s="24">
        <f t="shared" si="26"/>
        <v>24.644999999999996</v>
      </c>
      <c r="L19" s="25">
        <f t="shared" si="27"/>
        <v>0.9625</v>
      </c>
      <c r="M19" s="24">
        <f t="shared" si="28"/>
        <v>9.970538870300404</v>
      </c>
      <c r="N19" s="24">
        <f>IF(E19="","",MAX(MIN(MIN(0.1*'地盤状態入力'!D20+6,0.2*'地盤状態入力'!D20+4),1.2*'地盤状態入力'!D20-6),0))</f>
        <v>8.1</v>
      </c>
      <c r="O19" s="26">
        <f t="shared" si="0"/>
        <v>18.070538870300403</v>
      </c>
      <c r="P19" s="27">
        <f t="shared" si="29"/>
        <v>0.2009014627203682</v>
      </c>
      <c r="Q19" s="28">
        <f t="shared" si="1"/>
        <v>0.15703629679860098</v>
      </c>
      <c r="R19" s="28">
        <f t="shared" si="2"/>
      </c>
      <c r="S19" s="101">
        <f t="shared" si="30"/>
      </c>
      <c r="T19" s="319">
        <f t="shared" si="3"/>
      </c>
      <c r="U19" s="28">
        <f>IF($T19="","",CalcGammaCY($O19,Q19))</f>
      </c>
      <c r="V19" s="323">
        <f t="shared" si="31"/>
      </c>
      <c r="W19" s="27">
        <f t="shared" si="4"/>
        <v>0.2009014627203682</v>
      </c>
      <c r="X19" s="28">
        <f t="shared" si="5"/>
        <v>0.22328598451051077</v>
      </c>
      <c r="Y19" s="28">
        <f t="shared" si="6"/>
      </c>
      <c r="Z19" s="102">
        <f t="shared" si="32"/>
      </c>
      <c r="AA19" s="93">
        <f t="shared" si="7"/>
      </c>
      <c r="AB19" s="28">
        <f>IF($AA19="","",CalcGammaCY($O19,X19))</f>
      </c>
      <c r="AC19" s="28">
        <f t="shared" si="33"/>
      </c>
      <c r="AD19" s="27">
        <f t="shared" si="8"/>
        <v>0.2009014627203682</v>
      </c>
      <c r="AE19" s="28">
        <f t="shared" si="9"/>
        <v>0.12562903743888076</v>
      </c>
      <c r="AF19" s="28">
        <f t="shared" si="10"/>
      </c>
      <c r="AG19" s="101">
        <f t="shared" si="34"/>
      </c>
      <c r="AH19" s="319">
        <f t="shared" si="11"/>
      </c>
      <c r="AI19" s="30">
        <f>IF($AH19="","",CalcGammaCY($O19,AE19))</f>
      </c>
      <c r="AJ19" s="328">
        <f t="shared" si="35"/>
      </c>
      <c r="AL19" s="296">
        <f t="shared" si="12"/>
        <v>1</v>
      </c>
      <c r="AM19" s="44">
        <f t="shared" si="13"/>
        <v>1</v>
      </c>
      <c r="AN19" s="50">
        <f t="shared" si="14"/>
      </c>
      <c r="AO19" s="51">
        <f t="shared" si="15"/>
      </c>
      <c r="AP19" s="51">
        <f t="shared" si="16"/>
      </c>
      <c r="AQ19" s="50">
        <f t="shared" si="17"/>
      </c>
      <c r="AR19" s="51">
        <f t="shared" si="18"/>
      </c>
      <c r="AS19" s="51">
        <f t="shared" si="19"/>
      </c>
      <c r="AT19" s="50">
        <f t="shared" si="20"/>
      </c>
      <c r="AU19" s="51">
        <f t="shared" si="21"/>
      </c>
      <c r="AV19" s="51">
        <f t="shared" si="22"/>
      </c>
      <c r="AW19" s="52">
        <f t="shared" si="36"/>
        <v>1</v>
      </c>
      <c r="AX19" s="52">
        <f t="shared" si="37"/>
        <v>3</v>
      </c>
      <c r="AY19" s="44">
        <f t="shared" si="23"/>
      </c>
      <c r="AZ19" s="45">
        <f t="shared" si="24"/>
      </c>
      <c r="BA19" s="46">
        <f t="shared" si="38"/>
      </c>
    </row>
    <row r="20" spans="1:53" ht="13.5">
      <c r="A20" s="19">
        <f>IF('地盤状態入力'!L21="○",1,"")</f>
      </c>
      <c r="B20" s="163">
        <f>'地盤状態入力'!B21</f>
        <v>3</v>
      </c>
      <c r="C20" s="164" t="str">
        <f>IF('地盤状態入力'!C21="","",'地盤状態入力'!C21)</f>
        <v>砂質土</v>
      </c>
      <c r="D20" s="165">
        <f>IF('地盤状態入力'!D21="","",'地盤状態入力'!D21)</f>
        <v>21</v>
      </c>
      <c r="E20" s="166">
        <f>IF('地盤状態入力'!E21="","",'地盤状態入力'!E21)</f>
        <v>5</v>
      </c>
      <c r="F20" s="166">
        <f>IF('地盤状態入力'!G21="","",'地盤状態入力'!G21)</f>
        <v>100</v>
      </c>
      <c r="G20" s="167">
        <f>IF('地盤状態入力'!H21="","",'地盤状態入力'!H21)</f>
      </c>
      <c r="H20" s="167">
        <f>IF('地盤状態入力'!I21="","",'地盤状態入力'!I21)</f>
      </c>
      <c r="I20" s="24">
        <f>IF(E20="","",I19+(B20-B19)*'地盤状態入力'!F21)</f>
        <v>47.33</v>
      </c>
      <c r="J20" s="24">
        <f t="shared" si="25"/>
        <v>47.33</v>
      </c>
      <c r="K20" s="24">
        <f t="shared" si="26"/>
        <v>27.729999999999997</v>
      </c>
      <c r="L20" s="25">
        <f t="shared" si="27"/>
        <v>0.955</v>
      </c>
      <c r="M20" s="24">
        <f t="shared" si="28"/>
        <v>9.399572616904152</v>
      </c>
      <c r="N20" s="24">
        <f>IF(E20="","",MAX(MIN(MIN(0.1*'地盤状態入力'!D21+6,0.2*'地盤状態入力'!D21+4),1.2*'地盤状態入力'!D21-6),0))</f>
        <v>8.1</v>
      </c>
      <c r="O20" s="26">
        <f t="shared" si="0"/>
        <v>17.499572616904153</v>
      </c>
      <c r="P20" s="27">
        <f t="shared" si="29"/>
        <v>0.19280080804387115</v>
      </c>
      <c r="Q20" s="28">
        <f t="shared" si="1"/>
        <v>0.15581263734302744</v>
      </c>
      <c r="R20" s="28">
        <f t="shared" si="2"/>
      </c>
      <c r="S20" s="101">
        <f t="shared" si="30"/>
      </c>
      <c r="T20" s="319">
        <f t="shared" si="3"/>
      </c>
      <c r="U20" s="28">
        <f>IF($T20="","",CalcGammaCY($O20,Q20))</f>
      </c>
      <c r="V20" s="323">
        <f t="shared" si="31"/>
      </c>
      <c r="W20" s="27">
        <f t="shared" si="4"/>
        <v>0.19280080804387115</v>
      </c>
      <c r="X20" s="28">
        <f t="shared" si="5"/>
        <v>0.22154609372211717</v>
      </c>
      <c r="Y20" s="28">
        <f t="shared" si="6"/>
      </c>
      <c r="Z20" s="102">
        <f t="shared" si="32"/>
      </c>
      <c r="AA20" s="93">
        <f t="shared" si="7"/>
      </c>
      <c r="AB20" s="28">
        <f>IF($AA20="","",CalcGammaCY($O20,X20))</f>
      </c>
      <c r="AC20" s="28">
        <f t="shared" si="33"/>
      </c>
      <c r="AD20" s="27">
        <f t="shared" si="8"/>
        <v>0.19280080804387115</v>
      </c>
      <c r="AE20" s="28">
        <f t="shared" si="9"/>
        <v>0.12465010987442193</v>
      </c>
      <c r="AF20" s="28">
        <f t="shared" si="10"/>
      </c>
      <c r="AG20" s="101">
        <f t="shared" si="34"/>
      </c>
      <c r="AH20" s="319">
        <f t="shared" si="11"/>
      </c>
      <c r="AI20" s="30">
        <f>IF($AH20="","",CalcGammaCY($O20,AE20))</f>
      </c>
      <c r="AJ20" s="328">
        <f t="shared" si="35"/>
      </c>
      <c r="AL20" s="296">
        <f t="shared" si="12"/>
        <v>1</v>
      </c>
      <c r="AM20" s="44">
        <f t="shared" si="13"/>
        <v>1</v>
      </c>
      <c r="AN20" s="50">
        <f t="shared" si="14"/>
      </c>
      <c r="AO20" s="51">
        <f t="shared" si="15"/>
      </c>
      <c r="AP20" s="51">
        <f t="shared" si="16"/>
      </c>
      <c r="AQ20" s="50">
        <f t="shared" si="17"/>
      </c>
      <c r="AR20" s="51">
        <f t="shared" si="18"/>
      </c>
      <c r="AS20" s="51">
        <f t="shared" si="19"/>
      </c>
      <c r="AT20" s="50">
        <f t="shared" si="20"/>
      </c>
      <c r="AU20" s="51">
        <f t="shared" si="21"/>
      </c>
      <c r="AV20" s="51">
        <f t="shared" si="22"/>
      </c>
      <c r="AW20" s="52">
        <f t="shared" si="36"/>
        <v>1</v>
      </c>
      <c r="AX20" s="52">
        <f t="shared" si="37"/>
        <v>3</v>
      </c>
      <c r="AY20" s="44">
        <f t="shared" si="23"/>
      </c>
      <c r="AZ20" s="45">
        <f t="shared" si="24"/>
      </c>
      <c r="BA20" s="46">
        <f t="shared" si="38"/>
      </c>
    </row>
    <row r="21" spans="1:53" ht="13.5">
      <c r="A21" s="19">
        <f>IF('地盤状態入力'!L22="○",1,"")</f>
        <v>1</v>
      </c>
      <c r="B21" s="163">
        <f>'地盤状態入力'!B22</f>
        <v>3.5</v>
      </c>
      <c r="C21" s="164" t="str">
        <f>IF('地盤状態入力'!C22="","",'地盤状態入力'!C22)</f>
        <v>砂質土</v>
      </c>
      <c r="D21" s="165">
        <f>IF('地盤状態入力'!D22="","",'地盤状態入力'!D22)</f>
        <v>21</v>
      </c>
      <c r="E21" s="166">
        <f>IF('地盤状態入力'!E22="","",'地盤状態入力'!E22)</f>
        <v>5</v>
      </c>
      <c r="F21" s="166">
        <f>IF('地盤状態入力'!G22="","",'地盤状態入力'!G22)</f>
        <v>95</v>
      </c>
      <c r="G21" s="167">
        <f>IF('地盤状態入力'!H22="","",'地盤状態入力'!H22)</f>
      </c>
      <c r="H21" s="167" t="str">
        <f>IF('地盤状態入力'!I22="","",'地盤状態入力'!I22)</f>
        <v>有</v>
      </c>
      <c r="I21" s="24">
        <f>IF(E21="","",I20+(B21-B20)*'地盤状態入力'!F22)</f>
        <v>55.315</v>
      </c>
      <c r="J21" s="24">
        <f t="shared" si="25"/>
        <v>50.415</v>
      </c>
      <c r="K21" s="24">
        <f t="shared" si="26"/>
        <v>30.814999999999998</v>
      </c>
      <c r="L21" s="25">
        <f t="shared" si="27"/>
        <v>0.9475</v>
      </c>
      <c r="M21" s="24">
        <f t="shared" si="28"/>
        <v>8.91665485109586</v>
      </c>
      <c r="N21" s="24">
        <f>IF(E21="","",MAX(MIN(MIN(0.1*'地盤状態入力'!D22+6,0.2*'地盤状態入力'!D22+4),1.2*'地盤状態入力'!D22-6),0))</f>
        <v>8.1</v>
      </c>
      <c r="O21" s="26">
        <f t="shared" si="0"/>
        <v>17.016654851095858</v>
      </c>
      <c r="P21" s="27">
        <f t="shared" si="29"/>
        <v>0.2799872968614214</v>
      </c>
      <c r="Q21" s="28">
        <f t="shared" si="1"/>
        <v>0.16961399011890338</v>
      </c>
      <c r="R21" s="28">
        <f t="shared" si="2"/>
        <v>1.6507323285369546</v>
      </c>
      <c r="S21" s="101">
        <f t="shared" si="30"/>
      </c>
      <c r="T21" s="319">
        <f t="shared" si="3"/>
      </c>
      <c r="U21" s="28">
        <f>IF($T21="","",CalcGammaCY($O21,Q21))</f>
      </c>
      <c r="V21" s="323">
        <f t="shared" si="31"/>
      </c>
      <c r="W21" s="27">
        <f t="shared" si="4"/>
        <v>0.2799872968614214</v>
      </c>
      <c r="X21" s="28">
        <f t="shared" si="5"/>
        <v>0.2411698922003158</v>
      </c>
      <c r="Y21" s="28">
        <f t="shared" si="6"/>
        <v>1.1609546046853305</v>
      </c>
      <c r="Z21" s="102">
        <f t="shared" si="32"/>
      </c>
      <c r="AA21" s="93">
        <f t="shared" si="7"/>
      </c>
      <c r="AB21" s="28">
        <f>IF($AA21="","",CalcGammaCY($O21,X21))</f>
      </c>
      <c r="AC21" s="28">
        <f t="shared" si="33"/>
      </c>
      <c r="AD21" s="27">
        <f t="shared" si="8"/>
        <v>0.2799872968614214</v>
      </c>
      <c r="AE21" s="28">
        <f t="shared" si="9"/>
        <v>0.1356911920951227</v>
      </c>
      <c r="AF21" s="28">
        <f t="shared" si="10"/>
        <v>2.063415410671193</v>
      </c>
      <c r="AG21" s="101">
        <f t="shared" si="34"/>
      </c>
      <c r="AH21" s="319">
        <f t="shared" si="11"/>
      </c>
      <c r="AI21" s="30">
        <f>IF($AH21="","",CalcGammaCY($O21,AE21))</f>
      </c>
      <c r="AJ21" s="328">
        <f t="shared" si="35"/>
      </c>
      <c r="AL21" s="296">
        <f t="shared" si="12"/>
        <v>1</v>
      </c>
      <c r="AM21" s="44">
        <f t="shared" si="13"/>
        <v>1.5</v>
      </c>
      <c r="AN21" s="50">
        <f t="shared" si="14"/>
        <v>0.6507323285369546</v>
      </c>
      <c r="AO21" s="51">
        <f t="shared" si="15"/>
        <v>0.6507323285369546</v>
      </c>
      <c r="AP21" s="51">
        <f t="shared" si="16"/>
        <v>0</v>
      </c>
      <c r="AQ21" s="50">
        <f t="shared" si="17"/>
        <v>0.16095460468533052</v>
      </c>
      <c r="AR21" s="51">
        <f t="shared" si="18"/>
        <v>0.16095460468533052</v>
      </c>
      <c r="AS21" s="51">
        <f t="shared" si="19"/>
        <v>0</v>
      </c>
      <c r="AT21" s="50">
        <f t="shared" si="20"/>
        <v>1.063415410671193</v>
      </c>
      <c r="AU21" s="51">
        <f t="shared" si="21"/>
        <v>1.063415410671193</v>
      </c>
      <c r="AV21" s="51">
        <f t="shared" si="22"/>
        <v>0</v>
      </c>
      <c r="AW21" s="52">
        <f t="shared" si="36"/>
        <v>1</v>
      </c>
      <c r="AX21" s="52">
        <f t="shared" si="37"/>
        <v>3</v>
      </c>
      <c r="AY21" s="44">
        <f t="shared" si="23"/>
      </c>
      <c r="AZ21" s="45">
        <f t="shared" si="24"/>
      </c>
      <c r="BA21" s="46">
        <f t="shared" si="38"/>
      </c>
    </row>
    <row r="22" spans="1:53" ht="13.5">
      <c r="A22" s="19">
        <f>IF('地盤状態入力'!L23="○",1,"")</f>
        <v>1</v>
      </c>
      <c r="B22" s="163">
        <f>'地盤状態入力'!B23</f>
        <v>4</v>
      </c>
      <c r="C22" s="164" t="str">
        <f>IF('地盤状態入力'!C23="","",'地盤状態入力'!C23)</f>
        <v>砂質土</v>
      </c>
      <c r="D22" s="165">
        <f>IF('地盤状態入力'!D23="","",'地盤状態入力'!D23)</f>
        <v>21</v>
      </c>
      <c r="E22" s="166">
        <f>IF('地盤状態入力'!E23="","",'地盤状態入力'!E23)</f>
        <v>5</v>
      </c>
      <c r="F22" s="166">
        <f>IF('地盤状態入力'!G23="","",'地盤状態入力'!G23)</f>
        <v>95</v>
      </c>
      <c r="G22" s="167">
        <f>IF('地盤状態入力'!H23="","",'地盤状態入力'!H23)</f>
      </c>
      <c r="H22" s="167" t="str">
        <f>IF('地盤状態入力'!I23="","",'地盤状態入力'!I23)</f>
        <v>有</v>
      </c>
      <c r="I22" s="24">
        <f>IF(E22="","",I21+(B22-B21)*'地盤状態入力'!F23)</f>
        <v>63.3</v>
      </c>
      <c r="J22" s="24">
        <f t="shared" si="25"/>
        <v>53.5</v>
      </c>
      <c r="K22" s="24">
        <f t="shared" si="26"/>
        <v>33.89999999999999</v>
      </c>
      <c r="L22" s="25">
        <f t="shared" si="27"/>
        <v>0.94</v>
      </c>
      <c r="M22" s="24">
        <f t="shared" si="28"/>
        <v>8.501257932252056</v>
      </c>
      <c r="N22" s="24">
        <f>IF(E22="","",MAX(MIN(MIN(0.1*'地盤状態入力'!D23+6,0.2*'地盤状態入力'!D23+4),1.2*'地盤状態入力'!D23-6),0))</f>
        <v>8.1</v>
      </c>
      <c r="O22" s="26">
        <f t="shared" si="0"/>
        <v>16.601257932252054</v>
      </c>
      <c r="P22" s="27">
        <f t="shared" si="29"/>
        <v>0.27273114490676387</v>
      </c>
      <c r="Q22" s="28">
        <f t="shared" si="1"/>
        <v>0.1814584047988417</v>
      </c>
      <c r="R22" s="28">
        <f t="shared" si="2"/>
        <v>1.5029953845847144</v>
      </c>
      <c r="S22" s="101">
        <f t="shared" si="30"/>
      </c>
      <c r="T22" s="319">
        <f t="shared" si="3"/>
      </c>
      <c r="U22" s="28">
        <f>IF($T22="","",CalcGammaCY($O22,Q22))</f>
      </c>
      <c r="V22" s="323">
        <f t="shared" si="31"/>
      </c>
      <c r="W22" s="27">
        <f t="shared" si="4"/>
        <v>0.27273114490676387</v>
      </c>
      <c r="X22" s="28">
        <f t="shared" si="5"/>
        <v>0.25801116932335305</v>
      </c>
      <c r="Y22" s="28">
        <f t="shared" si="6"/>
        <v>1.0570516990485903</v>
      </c>
      <c r="Z22" s="102">
        <f t="shared" si="32"/>
      </c>
      <c r="AA22" s="93">
        <f t="shared" si="7"/>
      </c>
      <c r="AB22" s="28">
        <f>IF($AA22="","",CalcGammaCY($O22,X22))</f>
      </c>
      <c r="AC22" s="28">
        <f t="shared" si="33"/>
      </c>
      <c r="AD22" s="27">
        <f t="shared" si="8"/>
        <v>0.27273114490676387</v>
      </c>
      <c r="AE22" s="28">
        <f t="shared" si="9"/>
        <v>0.1451667238390733</v>
      </c>
      <c r="AF22" s="28">
        <f t="shared" si="10"/>
        <v>1.8787442307308937</v>
      </c>
      <c r="AG22" s="101">
        <f t="shared" si="34"/>
      </c>
      <c r="AH22" s="319">
        <f t="shared" si="11"/>
      </c>
      <c r="AI22" s="30">
        <f>IF($AH22="","",CalcGammaCY($O22,AE22))</f>
      </c>
      <c r="AJ22" s="328">
        <f t="shared" si="35"/>
      </c>
      <c r="AL22" s="296">
        <f t="shared" si="12"/>
        <v>1</v>
      </c>
      <c r="AM22" s="44">
        <f t="shared" si="13"/>
        <v>1.5</v>
      </c>
      <c r="AN22" s="50">
        <f t="shared" si="14"/>
        <v>0.5029953845847144</v>
      </c>
      <c r="AO22" s="51">
        <f t="shared" si="15"/>
        <v>0.5029953845847144</v>
      </c>
      <c r="AP22" s="51">
        <f t="shared" si="16"/>
        <v>0</v>
      </c>
      <c r="AQ22" s="50">
        <f t="shared" si="17"/>
        <v>0.05705169904859031</v>
      </c>
      <c r="AR22" s="51">
        <f t="shared" si="18"/>
        <v>0.05705169904859031</v>
      </c>
      <c r="AS22" s="51">
        <f t="shared" si="19"/>
        <v>0</v>
      </c>
      <c r="AT22" s="50">
        <f t="shared" si="20"/>
        <v>0.8787442307308937</v>
      </c>
      <c r="AU22" s="51">
        <f t="shared" si="21"/>
        <v>0.8787442307308937</v>
      </c>
      <c r="AV22" s="51">
        <f t="shared" si="22"/>
        <v>0</v>
      </c>
      <c r="AW22" s="52">
        <f t="shared" si="36"/>
        <v>1</v>
      </c>
      <c r="AX22" s="52">
        <f t="shared" si="37"/>
        <v>3</v>
      </c>
      <c r="AY22" s="44">
        <f t="shared" si="23"/>
      </c>
      <c r="AZ22" s="45">
        <f t="shared" si="24"/>
      </c>
      <c r="BA22" s="46">
        <f t="shared" si="38"/>
      </c>
    </row>
    <row r="23" spans="1:53" ht="13.5">
      <c r="A23" s="19">
        <f>IF('地盤状態入力'!L24="○",1,"")</f>
        <v>1</v>
      </c>
      <c r="B23" s="163">
        <f>'地盤状態入力'!B24</f>
        <v>4.5</v>
      </c>
      <c r="C23" s="164" t="str">
        <f>IF('地盤状態入力'!C24="","",'地盤状態入力'!C24)</f>
        <v>砂質土</v>
      </c>
      <c r="D23" s="165">
        <f>IF('地盤状態入力'!D24="","",'地盤状態入力'!D24)</f>
        <v>21</v>
      </c>
      <c r="E23" s="166">
        <f>IF('地盤状態入力'!E24="","",'地盤状態入力'!E24)</f>
        <v>6</v>
      </c>
      <c r="F23" s="166">
        <f>IF('地盤状態入力'!G24="","",'地盤状態入力'!G24)</f>
        <v>100</v>
      </c>
      <c r="G23" s="167">
        <f>IF('地盤状態入力'!H24="","",'地盤状態入力'!H24)</f>
      </c>
      <c r="H23" s="167">
        <f>IF('地盤状態入力'!I24="","",'地盤状態入力'!I24)</f>
      </c>
      <c r="I23" s="24">
        <f>IF(E23="","",I22+(B23-B22)*'地盤状態入力'!F24)</f>
        <v>71.285</v>
      </c>
      <c r="J23" s="24">
        <f t="shared" si="25"/>
        <v>56.584999999999994</v>
      </c>
      <c r="K23" s="24">
        <f t="shared" si="26"/>
        <v>36.98499999999999</v>
      </c>
      <c r="L23" s="25">
        <f t="shared" si="27"/>
        <v>0.9325</v>
      </c>
      <c r="M23" s="24">
        <f t="shared" si="28"/>
        <v>9.766781608200837</v>
      </c>
      <c r="N23" s="24">
        <f>IF(E23="","",MAX(MIN(MIN(0.1*'地盤状態入力'!D24+6,0.2*'地盤状態入力'!D24+4),1.2*'地盤状態入力'!D24-6),0))</f>
        <v>8.1</v>
      </c>
      <c r="O23" s="26">
        <f t="shared" si="0"/>
        <v>17.86678160820084</v>
      </c>
      <c r="P23" s="27">
        <f t="shared" si="29"/>
        <v>0.1978972851994014</v>
      </c>
      <c r="Q23" s="28">
        <f t="shared" si="1"/>
        <v>0.19166595670453368</v>
      </c>
      <c r="R23" s="28">
        <f t="shared" si="2"/>
        <v>1.0325113995307666</v>
      </c>
      <c r="S23" s="101">
        <f t="shared" si="30"/>
      </c>
      <c r="T23" s="318">
        <f t="shared" si="3"/>
      </c>
      <c r="U23" s="28">
        <f>IF($T23="","",CalcGammaCY($O23,Q23))</f>
      </c>
      <c r="V23" s="323">
        <f t="shared" si="31"/>
      </c>
      <c r="W23" s="27">
        <f t="shared" si="4"/>
        <v>0.1978972851994014</v>
      </c>
      <c r="X23" s="28">
        <f t="shared" si="5"/>
        <v>0.27252503218925883</v>
      </c>
      <c r="Y23" s="28">
        <f t="shared" si="6"/>
        <v>0.7261618634062534</v>
      </c>
      <c r="Z23" s="102">
        <f t="shared" si="32"/>
        <v>1.061122779300768</v>
      </c>
      <c r="AA23" s="92" t="str">
        <f t="shared" si="7"/>
        <v>×</v>
      </c>
      <c r="AB23" s="28">
        <f>IF($AA23="","",CalcGammaCY($O23,X23))</f>
        <v>1.071315094022381</v>
      </c>
      <c r="AC23" s="28">
        <f t="shared" si="33"/>
        <v>0.5356575470111905</v>
      </c>
      <c r="AD23" s="27">
        <f t="shared" si="8"/>
        <v>0.1978972851994014</v>
      </c>
      <c r="AE23" s="28">
        <f t="shared" si="9"/>
        <v>0.15333276536362692</v>
      </c>
      <c r="AF23" s="28">
        <f t="shared" si="10"/>
        <v>1.2906392494134584</v>
      </c>
      <c r="AG23" s="101">
        <f t="shared" si="34"/>
      </c>
      <c r="AH23" s="318">
        <f t="shared" si="11"/>
      </c>
      <c r="AI23" s="30">
        <f>IF($AH23="","",CalcGammaCY($O23,AE23))</f>
      </c>
      <c r="AJ23" s="328">
        <f t="shared" si="35"/>
      </c>
      <c r="AL23" s="296">
        <f t="shared" si="12"/>
        <v>1</v>
      </c>
      <c r="AM23" s="44">
        <f t="shared" si="13"/>
        <v>1</v>
      </c>
      <c r="AN23" s="50">
        <f t="shared" si="14"/>
        <v>0.03251139953076665</v>
      </c>
      <c r="AO23" s="51">
        <f t="shared" si="15"/>
        <v>0.03251139953076665</v>
      </c>
      <c r="AP23" s="51">
        <f t="shared" si="16"/>
        <v>0</v>
      </c>
      <c r="AQ23" s="50">
        <f t="shared" si="17"/>
        <v>-0.27383813659374656</v>
      </c>
      <c r="AR23" s="51">
        <f t="shared" si="18"/>
        <v>0</v>
      </c>
      <c r="AS23" s="51">
        <f t="shared" si="19"/>
        <v>-0.27383813659374656</v>
      </c>
      <c r="AT23" s="50">
        <f t="shared" si="20"/>
        <v>0.2906392494134584</v>
      </c>
      <c r="AU23" s="51">
        <f t="shared" si="21"/>
        <v>0.2906392494134584</v>
      </c>
      <c r="AV23" s="51">
        <f t="shared" si="22"/>
        <v>0</v>
      </c>
      <c r="AW23" s="52">
        <f t="shared" si="36"/>
        <v>1</v>
      </c>
      <c r="AX23" s="52">
        <f t="shared" si="37"/>
        <v>3</v>
      </c>
      <c r="AY23" s="44">
        <f t="shared" si="23"/>
      </c>
      <c r="AZ23" s="45">
        <f t="shared" si="24"/>
        <v>0.5356575470111905</v>
      </c>
      <c r="BA23" s="46">
        <f t="shared" si="38"/>
      </c>
    </row>
    <row r="24" spans="1:53" ht="13.5">
      <c r="A24" s="19">
        <f>IF('地盤状態入力'!L25="○",1,"")</f>
        <v>1</v>
      </c>
      <c r="B24" s="279">
        <f>'地盤状態入力'!B25</f>
        <v>5</v>
      </c>
      <c r="C24" s="280" t="str">
        <f>IF('地盤状態入力'!C25="","",'地盤状態入力'!C25)</f>
        <v>砂質土</v>
      </c>
      <c r="D24" s="281">
        <f>IF('地盤状態入力'!D25="","",'地盤状態入力'!D25)</f>
        <v>21</v>
      </c>
      <c r="E24" s="282">
        <f>IF('地盤状態入力'!E25="","",'地盤状態入力'!E25)</f>
        <v>6</v>
      </c>
      <c r="F24" s="282">
        <f>IF('地盤状態入力'!G25="","",'地盤状態入力'!G25)</f>
        <v>100</v>
      </c>
      <c r="G24" s="283">
        <f>IF('地盤状態入力'!H25="","",'地盤状態入力'!H25)</f>
      </c>
      <c r="H24" s="283">
        <f>IF('地盤状態入力'!I25="","",'地盤状態入力'!I25)</f>
      </c>
      <c r="I24" s="284">
        <f>IF(E24="","",I23+(B24-B23)*'地盤状態入力'!F25)</f>
        <v>79.27</v>
      </c>
      <c r="J24" s="284">
        <f t="shared" si="25"/>
        <v>59.669999999999995</v>
      </c>
      <c r="K24" s="284">
        <f t="shared" si="26"/>
        <v>40.06999999999999</v>
      </c>
      <c r="L24" s="285">
        <f t="shared" si="27"/>
        <v>0.925</v>
      </c>
      <c r="M24" s="284">
        <f t="shared" si="28"/>
        <v>9.383278725511083</v>
      </c>
      <c r="N24" s="284">
        <f>IF(E24="","",MAX(MIN(MIN(0.1*'地盤状態入力'!D25+6,0.2*'地盤状態入力'!D25+4),1.2*'地盤状態入力'!D25-6),0))</f>
        <v>8.1</v>
      </c>
      <c r="O24" s="286">
        <f t="shared" si="0"/>
        <v>17.483278725511084</v>
      </c>
      <c r="P24" s="258">
        <f t="shared" si="29"/>
        <v>0.1925835913839487</v>
      </c>
      <c r="Q24" s="260">
        <f t="shared" si="1"/>
        <v>0.20049052827230665</v>
      </c>
      <c r="R24" s="260">
        <f t="shared" si="2"/>
        <v>0.9605620427234411</v>
      </c>
      <c r="S24" s="455">
        <f t="shared" si="30"/>
        <v>0.1478923397870957</v>
      </c>
      <c r="T24" s="320" t="str">
        <f t="shared" si="3"/>
        <v>×</v>
      </c>
      <c r="U24" s="260">
        <f>IF($T24="","",CalcGammaCY($O24,Q24))</f>
        <v>0.5111407717674897</v>
      </c>
      <c r="V24" s="324">
        <f t="shared" si="31"/>
        <v>0.25557038588374487</v>
      </c>
      <c r="W24" s="258">
        <f t="shared" si="4"/>
        <v>0.1925835913839487</v>
      </c>
      <c r="X24" s="260">
        <f t="shared" si="5"/>
        <v>0.28507246988718604</v>
      </c>
      <c r="Y24" s="260">
        <f t="shared" si="6"/>
        <v>0.6755601179593431</v>
      </c>
      <c r="Z24" s="455">
        <f t="shared" si="32"/>
        <v>1.2166495576524632</v>
      </c>
      <c r="AA24" s="261" t="str">
        <f t="shared" si="7"/>
        <v>×</v>
      </c>
      <c r="AB24" s="260">
        <f>IF($AA24="","",CalcGammaCY($O24,X24))</f>
        <v>1.2220687502259586</v>
      </c>
      <c r="AC24" s="260">
        <f t="shared" si="33"/>
        <v>0.6110343751129793</v>
      </c>
      <c r="AD24" s="258">
        <f t="shared" si="8"/>
        <v>0.1925835913839487</v>
      </c>
      <c r="AE24" s="260">
        <f t="shared" si="9"/>
        <v>0.16039242261784528</v>
      </c>
      <c r="AF24" s="260">
        <f t="shared" si="10"/>
        <v>1.2007025534043017</v>
      </c>
      <c r="AG24" s="455">
        <f t="shared" si="34"/>
      </c>
      <c r="AH24" s="320">
        <f t="shared" si="11"/>
      </c>
      <c r="AI24" s="287">
        <f>IF($AH24="","",CalcGammaCY($O24,AE24))</f>
      </c>
      <c r="AJ24" s="329">
        <f t="shared" si="35"/>
      </c>
      <c r="AL24" s="297">
        <f t="shared" si="12"/>
        <v>1</v>
      </c>
      <c r="AM24" s="289">
        <f t="shared" si="13"/>
        <v>1</v>
      </c>
      <c r="AN24" s="290">
        <f t="shared" si="14"/>
        <v>-0.039437957276558855</v>
      </c>
      <c r="AO24" s="291">
        <f t="shared" si="15"/>
        <v>0</v>
      </c>
      <c r="AP24" s="291">
        <f t="shared" si="16"/>
        <v>-0.039437957276558855</v>
      </c>
      <c r="AQ24" s="290">
        <f t="shared" si="17"/>
        <v>-0.3244398820406569</v>
      </c>
      <c r="AR24" s="291">
        <f t="shared" si="18"/>
        <v>0</v>
      </c>
      <c r="AS24" s="291">
        <f t="shared" si="19"/>
        <v>-0.3244398820406569</v>
      </c>
      <c r="AT24" s="290">
        <f t="shared" si="20"/>
        <v>0.20070255340430165</v>
      </c>
      <c r="AU24" s="291">
        <f t="shared" si="21"/>
        <v>0.20070255340430165</v>
      </c>
      <c r="AV24" s="291">
        <f t="shared" si="22"/>
        <v>0</v>
      </c>
      <c r="AW24" s="292">
        <f t="shared" si="36"/>
        <v>1</v>
      </c>
      <c r="AX24" s="292">
        <f t="shared" si="37"/>
        <v>3</v>
      </c>
      <c r="AY24" s="289">
        <f t="shared" si="23"/>
        <v>0.25557038588374487</v>
      </c>
      <c r="AZ24" s="293">
        <f t="shared" si="24"/>
        <v>0.6110343751129793</v>
      </c>
      <c r="BA24" s="46">
        <f t="shared" si="38"/>
      </c>
    </row>
    <row r="25" spans="1:53" ht="13.5">
      <c r="A25" s="19">
        <f>IF('地盤状態入力'!L26="○",1,"")</f>
        <v>1</v>
      </c>
      <c r="B25" s="163">
        <f>'地盤状態入力'!B26</f>
        <v>5.5</v>
      </c>
      <c r="C25" s="164" t="str">
        <f>IF('地盤状態入力'!C26="","",'地盤状態入力'!C26)</f>
        <v>砂質土</v>
      </c>
      <c r="D25" s="165">
        <f>IF('地盤状態入力'!D26="","",'地盤状態入力'!D26)</f>
        <v>21</v>
      </c>
      <c r="E25" s="166">
        <f>IF('地盤状態入力'!E26="","",'地盤状態入力'!E26)</f>
        <v>6</v>
      </c>
      <c r="F25" s="166">
        <f>IF('地盤状態入力'!G26="","",'地盤状態入力'!G26)</f>
        <v>100</v>
      </c>
      <c r="G25" s="167">
        <f>IF('地盤状態入力'!H26="","",'地盤状態入力'!H26)</f>
      </c>
      <c r="H25" s="167">
        <f>IF('地盤状態入力'!I26="","",'地盤状態入力'!I26)</f>
      </c>
      <c r="I25" s="24">
        <f>IF(E25="","",I24+(B25-B24)*'地盤状態入力'!F26)</f>
        <v>87.255</v>
      </c>
      <c r="J25" s="24">
        <f t="shared" si="25"/>
        <v>62.754999999999995</v>
      </c>
      <c r="K25" s="24">
        <f t="shared" si="26"/>
        <v>43.154999999999994</v>
      </c>
      <c r="L25" s="25">
        <f t="shared" si="27"/>
        <v>0.9175</v>
      </c>
      <c r="M25" s="24">
        <f t="shared" si="28"/>
        <v>9.041671572088774</v>
      </c>
      <c r="N25" s="24">
        <f>IF(E25="","",MAX(MIN(MIN(0.1*'地盤状態入力'!D26+6,0.2*'地盤状態入力'!D26+4),1.2*'地盤状態入力'!D26-6),0))</f>
        <v>8.1</v>
      </c>
      <c r="O25" s="26">
        <f t="shared" si="0"/>
        <v>17.141671572088775</v>
      </c>
      <c r="P25" s="27">
        <f t="shared" si="29"/>
        <v>0.1881917979987387</v>
      </c>
      <c r="Q25" s="28">
        <f t="shared" si="1"/>
        <v>0.20813607907554021</v>
      </c>
      <c r="R25" s="28">
        <f t="shared" si="2"/>
        <v>0.9041767233946835</v>
      </c>
      <c r="S25" s="101">
        <f t="shared" si="30"/>
        <v>0.34735937769427244</v>
      </c>
      <c r="T25" s="318" t="str">
        <f t="shared" si="3"/>
        <v>×</v>
      </c>
      <c r="U25" s="28">
        <f>IF($T25="","",CalcGammaCY($O25,Q25))</f>
        <v>0.6937371900765354</v>
      </c>
      <c r="V25" s="323">
        <f t="shared" si="31"/>
        <v>0.3468685950382677</v>
      </c>
      <c r="W25" s="27">
        <f t="shared" si="4"/>
        <v>0.1881917979987387</v>
      </c>
      <c r="X25" s="28">
        <f t="shared" si="5"/>
        <v>0.2959434874355337</v>
      </c>
      <c r="Y25" s="28">
        <f t="shared" si="6"/>
        <v>0.6359045087610962</v>
      </c>
      <c r="Z25" s="102">
        <f t="shared" si="32"/>
        <v>1.3198461557410264</v>
      </c>
      <c r="AA25" s="92" t="str">
        <f t="shared" si="7"/>
        <v>×</v>
      </c>
      <c r="AB25" s="28">
        <f>IF($AA25="","",CalcGammaCY($O25,X25))</f>
        <v>1.3476180031926266</v>
      </c>
      <c r="AC25" s="28">
        <f t="shared" si="33"/>
        <v>0.6738090015963133</v>
      </c>
      <c r="AD25" s="27">
        <f t="shared" si="8"/>
        <v>0.1881917979987387</v>
      </c>
      <c r="AE25" s="28">
        <f t="shared" si="9"/>
        <v>0.16650886326043213</v>
      </c>
      <c r="AF25" s="28">
        <f t="shared" si="10"/>
        <v>1.1302209042433546</v>
      </c>
      <c r="AG25" s="101">
        <f t="shared" si="34"/>
      </c>
      <c r="AH25" s="318">
        <f t="shared" si="11"/>
      </c>
      <c r="AI25" s="30">
        <f>IF($AH25="","",CalcGammaCY($O25,AE25))</f>
      </c>
      <c r="AJ25" s="328">
        <f t="shared" si="35"/>
      </c>
      <c r="AL25" s="296">
        <f t="shared" si="12"/>
        <v>1</v>
      </c>
      <c r="AM25" s="44">
        <f t="shared" si="13"/>
        <v>1</v>
      </c>
      <c r="AN25" s="50">
        <f t="shared" si="14"/>
        <v>-0.09582327660531653</v>
      </c>
      <c r="AO25" s="51">
        <f t="shared" si="15"/>
        <v>0</v>
      </c>
      <c r="AP25" s="51">
        <f t="shared" si="16"/>
        <v>-0.09582327660531653</v>
      </c>
      <c r="AQ25" s="50">
        <f t="shared" si="17"/>
        <v>-0.36409549123890383</v>
      </c>
      <c r="AR25" s="51">
        <f t="shared" si="18"/>
        <v>0</v>
      </c>
      <c r="AS25" s="51">
        <f t="shared" si="19"/>
        <v>-0.36409549123890383</v>
      </c>
      <c r="AT25" s="50">
        <f t="shared" si="20"/>
        <v>0.13022090424335464</v>
      </c>
      <c r="AU25" s="51">
        <f t="shared" si="21"/>
        <v>0.13022090424335464</v>
      </c>
      <c r="AV25" s="51">
        <f t="shared" si="22"/>
        <v>0</v>
      </c>
      <c r="AW25" s="52">
        <f t="shared" si="36"/>
        <v>1</v>
      </c>
      <c r="AX25" s="52">
        <f t="shared" si="37"/>
        <v>3</v>
      </c>
      <c r="AY25" s="44">
        <f t="shared" si="23"/>
        <v>0.3468685950382677</v>
      </c>
      <c r="AZ25" s="45">
        <f t="shared" si="24"/>
        <v>0.6738090015963133</v>
      </c>
      <c r="BA25" s="46">
        <f t="shared" si="38"/>
      </c>
    </row>
    <row r="26" spans="1:53" ht="13.5">
      <c r="A26" s="19">
        <f>IF('地盤状態入力'!L27="○",1,"")</f>
        <v>1</v>
      </c>
      <c r="B26" s="163">
        <f>'地盤状態入力'!B27</f>
        <v>6</v>
      </c>
      <c r="C26" s="164" t="str">
        <f>IF('地盤状態入力'!C27="","",'地盤状態入力'!C27)</f>
        <v>砂質土</v>
      </c>
      <c r="D26" s="165">
        <f>IF('地盤状態入力'!D27="","",'地盤状態入力'!D27)</f>
        <v>21</v>
      </c>
      <c r="E26" s="166">
        <f>IF('地盤状態入力'!E27="","",'地盤状態入力'!E27)</f>
        <v>6</v>
      </c>
      <c r="F26" s="166">
        <f>IF('地盤状態入力'!G27="","",'地盤状態入力'!G27)</f>
        <v>100</v>
      </c>
      <c r="G26" s="167">
        <f>IF('地盤状態入力'!H27="","",'地盤状態入力'!H27)</f>
      </c>
      <c r="H26" s="167">
        <f>IF('地盤状態入力'!I27="","",'地盤状態入力'!I27)</f>
      </c>
      <c r="I26" s="24">
        <f>IF(E26="","",I25+(B26-B25)*'地盤状態入力'!F27)</f>
        <v>95.24</v>
      </c>
      <c r="J26" s="24">
        <f t="shared" si="25"/>
        <v>65.83999999999999</v>
      </c>
      <c r="K26" s="24">
        <f t="shared" si="26"/>
        <v>46.239999999999995</v>
      </c>
      <c r="L26" s="25">
        <f t="shared" si="27"/>
        <v>0.91</v>
      </c>
      <c r="M26" s="24">
        <f t="shared" si="28"/>
        <v>8.734848473480882</v>
      </c>
      <c r="N26" s="24">
        <f>IF(E26="","",MAX(MIN(MIN(0.1*'地盤状態入力'!D27+6,0.2*'地盤状態入力'!D27+4),1.2*'地盤状態入力'!D27-6),0))</f>
        <v>8.1</v>
      </c>
      <c r="O26" s="26">
        <f t="shared" si="0"/>
        <v>16.834848473480882</v>
      </c>
      <c r="P26" s="27">
        <f t="shared" si="29"/>
        <v>0.18449372787014165</v>
      </c>
      <c r="Q26" s="28">
        <f t="shared" si="1"/>
        <v>0.21476834175663742</v>
      </c>
      <c r="R26" s="28">
        <f t="shared" si="2"/>
        <v>0.8590359564222871</v>
      </c>
      <c r="S26" s="101">
        <f t="shared" si="30"/>
        <v>0.493374152521995</v>
      </c>
      <c r="T26" s="318" t="str">
        <f t="shared" si="3"/>
        <v>×</v>
      </c>
      <c r="U26" s="28">
        <f>IF($T26="","",CalcGammaCY($O26,Q26))</f>
        <v>0.8396369575508786</v>
      </c>
      <c r="V26" s="323">
        <f t="shared" si="31"/>
        <v>0.4198184787754393</v>
      </c>
      <c r="W26" s="27">
        <f t="shared" si="4"/>
        <v>0.18449372787014165</v>
      </c>
      <c r="X26" s="28">
        <f t="shared" si="5"/>
        <v>0.3053737359352188</v>
      </c>
      <c r="Y26" s="28">
        <f t="shared" si="6"/>
        <v>0.604157156165125</v>
      </c>
      <c r="Z26" s="102">
        <f t="shared" si="32"/>
        <v>1.3854499534220626</v>
      </c>
      <c r="AA26" s="92" t="str">
        <f t="shared" si="7"/>
        <v>×</v>
      </c>
      <c r="AB26" s="28">
        <f>IF($AA26="","",CalcGammaCY($O26,X26))</f>
        <v>1.444050066407098</v>
      </c>
      <c r="AC26" s="28">
        <f t="shared" si="33"/>
        <v>0.722025033203549</v>
      </c>
      <c r="AD26" s="27">
        <f t="shared" si="8"/>
        <v>0.18449372787014165</v>
      </c>
      <c r="AE26" s="28">
        <f t="shared" si="9"/>
        <v>0.17181467340530993</v>
      </c>
      <c r="AF26" s="28">
        <f t="shared" si="10"/>
        <v>1.073794945527859</v>
      </c>
      <c r="AG26" s="101">
        <f t="shared" si="34"/>
      </c>
      <c r="AH26" s="318">
        <f t="shared" si="11"/>
      </c>
      <c r="AI26" s="30">
        <f>IF($AH26="","",CalcGammaCY($O26,AE26))</f>
      </c>
      <c r="AJ26" s="328">
        <f t="shared" si="35"/>
      </c>
      <c r="AL26" s="296">
        <f t="shared" si="12"/>
        <v>1</v>
      </c>
      <c r="AM26" s="44">
        <f t="shared" si="13"/>
        <v>1</v>
      </c>
      <c r="AN26" s="50">
        <f t="shared" si="14"/>
        <v>-0.14096404357771286</v>
      </c>
      <c r="AO26" s="51">
        <f t="shared" si="15"/>
        <v>0</v>
      </c>
      <c r="AP26" s="51">
        <f t="shared" si="16"/>
        <v>-0.14096404357771286</v>
      </c>
      <c r="AQ26" s="50">
        <f t="shared" si="17"/>
        <v>-0.395842843834875</v>
      </c>
      <c r="AR26" s="51">
        <f t="shared" si="18"/>
        <v>0</v>
      </c>
      <c r="AS26" s="51">
        <f t="shared" si="19"/>
        <v>-0.395842843834875</v>
      </c>
      <c r="AT26" s="50">
        <f t="shared" si="20"/>
        <v>0.07379494552785903</v>
      </c>
      <c r="AU26" s="51">
        <f t="shared" si="21"/>
        <v>0.07379494552785903</v>
      </c>
      <c r="AV26" s="51">
        <f t="shared" si="22"/>
        <v>0</v>
      </c>
      <c r="AW26" s="52">
        <f t="shared" si="36"/>
        <v>1</v>
      </c>
      <c r="AX26" s="52">
        <f t="shared" si="37"/>
        <v>3</v>
      </c>
      <c r="AY26" s="44">
        <f t="shared" si="23"/>
        <v>0.4198184787754393</v>
      </c>
      <c r="AZ26" s="45">
        <f t="shared" si="24"/>
        <v>0.722025033203549</v>
      </c>
      <c r="BA26" s="46">
        <f t="shared" si="38"/>
      </c>
    </row>
    <row r="27" spans="1:53" ht="13.5">
      <c r="A27" s="19">
        <f>IF('地盤状態入力'!L28="○",1,"")</f>
        <v>1</v>
      </c>
      <c r="B27" s="163">
        <f>'地盤状態入力'!B28</f>
        <v>6.5</v>
      </c>
      <c r="C27" s="164" t="str">
        <f>IF('地盤状態入力'!C28="","",'地盤状態入力'!C28)</f>
        <v>砂質土</v>
      </c>
      <c r="D27" s="165">
        <f>IF('地盤状態入力'!D28="","",'地盤状態入力'!D28)</f>
        <v>21</v>
      </c>
      <c r="E27" s="166">
        <f>IF('地盤状態入力'!E28="","",'地盤状態入力'!E28)</f>
        <v>7</v>
      </c>
      <c r="F27" s="166">
        <f>IF('地盤状態入力'!G28="","",'地盤状態入力'!G28)</f>
        <v>100</v>
      </c>
      <c r="G27" s="167">
        <f>IF('地盤状態入力'!H28="","",'地盤状態入力'!H28)</f>
      </c>
      <c r="H27" s="167">
        <f>IF('地盤状態入力'!I28="","",'地盤状態入力'!I28)</f>
      </c>
      <c r="I27" s="24">
        <f>IF(E27="","",I26+(B27-B26)*'地盤状態入力'!F28)</f>
        <v>103.425</v>
      </c>
      <c r="J27" s="24">
        <f t="shared" si="25"/>
        <v>69.125</v>
      </c>
      <c r="K27" s="24">
        <f t="shared" si="26"/>
        <v>49.52499999999999</v>
      </c>
      <c r="L27" s="25">
        <f t="shared" si="27"/>
        <v>0.9025</v>
      </c>
      <c r="M27" s="24">
        <f t="shared" si="28"/>
        <v>9.846884316475414</v>
      </c>
      <c r="N27" s="24">
        <f>IF(E27="","",MAX(MIN(MIN(0.1*'地盤状態入力'!D28+6,0.2*'地盤状態入力'!D28+4),1.2*'地盤状態入力'!D28-6),0))</f>
        <v>8.1</v>
      </c>
      <c r="O27" s="26">
        <f t="shared" si="0"/>
        <v>17.946884316475412</v>
      </c>
      <c r="P27" s="27">
        <f t="shared" si="29"/>
        <v>0.19906263723989237</v>
      </c>
      <c r="Q27" s="28">
        <f t="shared" si="1"/>
        <v>0.22031136582790278</v>
      </c>
      <c r="R27" s="28">
        <f t="shared" si="2"/>
        <v>0.9035513737198245</v>
      </c>
      <c r="S27" s="101">
        <f t="shared" si="30"/>
        <v>0.32551411369559224</v>
      </c>
      <c r="T27" s="318" t="str">
        <f t="shared" si="3"/>
        <v>×</v>
      </c>
      <c r="U27" s="28">
        <f>IF($T27="","",CalcGammaCY($O27,Q27))</f>
        <v>0.6617535070101604</v>
      </c>
      <c r="V27" s="323">
        <f t="shared" si="31"/>
        <v>0.3308767535050802</v>
      </c>
      <c r="W27" s="27">
        <f t="shared" si="4"/>
        <v>0.19906263723989237</v>
      </c>
      <c r="X27" s="28">
        <f t="shared" si="5"/>
        <v>0.31325522328654926</v>
      </c>
      <c r="Y27" s="28">
        <f t="shared" si="6"/>
        <v>0.6354647023963601</v>
      </c>
      <c r="Z27" s="102">
        <f t="shared" si="32"/>
        <v>1.2303066294122846</v>
      </c>
      <c r="AA27" s="92" t="str">
        <f t="shared" si="7"/>
        <v>×</v>
      </c>
      <c r="AB27" s="28">
        <f>IF($AA27="","",CalcGammaCY($O27,X27))</f>
        <v>1.2360767771785832</v>
      </c>
      <c r="AC27" s="28">
        <f t="shared" si="33"/>
        <v>0.6180383885892916</v>
      </c>
      <c r="AD27" s="27">
        <f t="shared" si="8"/>
        <v>0.19906263723989237</v>
      </c>
      <c r="AE27" s="28">
        <f t="shared" si="9"/>
        <v>0.1762490926623222</v>
      </c>
      <c r="AF27" s="28">
        <f t="shared" si="10"/>
        <v>1.129439217149781</v>
      </c>
      <c r="AG27" s="101">
        <f t="shared" si="34"/>
      </c>
      <c r="AH27" s="318">
        <f t="shared" si="11"/>
      </c>
      <c r="AI27" s="30">
        <f>IF($AH27="","",CalcGammaCY($O27,AE27))</f>
      </c>
      <c r="AJ27" s="328">
        <f t="shared" si="35"/>
      </c>
      <c r="AL27" s="296">
        <f t="shared" si="12"/>
        <v>1</v>
      </c>
      <c r="AM27" s="44">
        <f t="shared" si="13"/>
        <v>1</v>
      </c>
      <c r="AN27" s="50">
        <f t="shared" si="14"/>
        <v>-0.09644862628017548</v>
      </c>
      <c r="AO27" s="51">
        <f t="shared" si="15"/>
        <v>0</v>
      </c>
      <c r="AP27" s="51">
        <f t="shared" si="16"/>
        <v>-0.09644862628017548</v>
      </c>
      <c r="AQ27" s="50">
        <f t="shared" si="17"/>
        <v>-0.3645352976036399</v>
      </c>
      <c r="AR27" s="51">
        <f t="shared" si="18"/>
        <v>0</v>
      </c>
      <c r="AS27" s="51">
        <f t="shared" si="19"/>
        <v>-0.3645352976036399</v>
      </c>
      <c r="AT27" s="50">
        <f t="shared" si="20"/>
        <v>0.1294392171497809</v>
      </c>
      <c r="AU27" s="51">
        <f t="shared" si="21"/>
        <v>0.1294392171497809</v>
      </c>
      <c r="AV27" s="51">
        <f t="shared" si="22"/>
        <v>0</v>
      </c>
      <c r="AW27" s="52">
        <f t="shared" si="36"/>
        <v>1</v>
      </c>
      <c r="AX27" s="52">
        <f t="shared" si="37"/>
        <v>3</v>
      </c>
      <c r="AY27" s="44">
        <f t="shared" si="23"/>
        <v>0.3308767535050802</v>
      </c>
      <c r="AZ27" s="45">
        <f t="shared" si="24"/>
        <v>0.6180383885892916</v>
      </c>
      <c r="BA27" s="46">
        <f t="shared" si="38"/>
      </c>
    </row>
    <row r="28" spans="1:53" ht="13.5">
      <c r="A28" s="19">
        <f>IF('地盤状態入力'!L29="○",1,"")</f>
        <v>1</v>
      </c>
      <c r="B28" s="163">
        <f>'地盤状態入力'!B29</f>
        <v>7</v>
      </c>
      <c r="C28" s="164" t="str">
        <f>IF('地盤状態入力'!C29="","",'地盤状態入力'!C29)</f>
        <v>砂質土</v>
      </c>
      <c r="D28" s="165">
        <f>IF('地盤状態入力'!D29="","",'地盤状態入力'!D29)</f>
        <v>21</v>
      </c>
      <c r="E28" s="166">
        <f>IF('地盤状態入力'!E29="","",'地盤状態入力'!E29)</f>
        <v>7</v>
      </c>
      <c r="F28" s="166">
        <f>IF('地盤状態入力'!G29="","",'地盤状態入力'!G29)</f>
        <v>100</v>
      </c>
      <c r="G28" s="167">
        <f>IF('地盤状態入力'!H29="","",'地盤状態入力'!H29)</f>
      </c>
      <c r="H28" s="167">
        <f>IF('地盤状態入力'!I29="","",'地盤状態入力'!I29)</f>
      </c>
      <c r="I28" s="24">
        <f>IF(E28="","",I27+(B28-B27)*'地盤状態入力'!F29)</f>
        <v>111.61</v>
      </c>
      <c r="J28" s="24">
        <f t="shared" si="25"/>
        <v>72.41</v>
      </c>
      <c r="K28" s="24">
        <f t="shared" si="26"/>
        <v>52.809999999999995</v>
      </c>
      <c r="L28" s="25">
        <f t="shared" si="27"/>
        <v>0.895</v>
      </c>
      <c r="M28" s="24">
        <f t="shared" si="28"/>
        <v>9.535709105974174</v>
      </c>
      <c r="N28" s="24">
        <f>IF(E28="","",MAX(MIN(MIN(0.1*'地盤状態入力'!D29+6,0.2*'地盤状態入力'!D29+4),1.2*'地盤状態入力'!D29-6),0))</f>
        <v>8.1</v>
      </c>
      <c r="O28" s="26">
        <f t="shared" si="0"/>
        <v>17.635709105974172</v>
      </c>
      <c r="P28" s="27">
        <f t="shared" si="29"/>
        <v>0.19464461797253188</v>
      </c>
      <c r="Q28" s="28">
        <f t="shared" si="1"/>
        <v>0.2250748156216381</v>
      </c>
      <c r="R28" s="28">
        <f t="shared" si="2"/>
        <v>0.8647996331128361</v>
      </c>
      <c r="S28" s="101">
        <f t="shared" si="30"/>
        <v>0.43940119238328257</v>
      </c>
      <c r="T28" s="318" t="str">
        <f t="shared" si="3"/>
        <v>×</v>
      </c>
      <c r="U28" s="28">
        <f>IF($T28="","",CalcGammaCY($O28,Q28))</f>
        <v>0.7795637395557161</v>
      </c>
      <c r="V28" s="323">
        <f t="shared" si="31"/>
        <v>0.38978186977785806</v>
      </c>
      <c r="W28" s="27">
        <f t="shared" si="4"/>
        <v>0.19464461797253188</v>
      </c>
      <c r="X28" s="28">
        <f t="shared" si="5"/>
        <v>0.3200282534620167</v>
      </c>
      <c r="Y28" s="28">
        <f t="shared" si="6"/>
        <v>0.6082107309804562</v>
      </c>
      <c r="Z28" s="102">
        <f t="shared" si="32"/>
        <v>1.2733151243135175</v>
      </c>
      <c r="AA28" s="92" t="str">
        <f t="shared" si="7"/>
        <v>×</v>
      </c>
      <c r="AB28" s="28">
        <f>IF($AA28="","",CalcGammaCY($O28,X28))</f>
        <v>1.318020484731293</v>
      </c>
      <c r="AC28" s="28">
        <f t="shared" si="33"/>
        <v>0.6590102423656465</v>
      </c>
      <c r="AD28" s="27">
        <f t="shared" si="8"/>
        <v>0.19464461797253188</v>
      </c>
      <c r="AE28" s="28">
        <f t="shared" si="9"/>
        <v>0.18005985249731046</v>
      </c>
      <c r="AF28" s="28">
        <f t="shared" si="10"/>
        <v>1.0809995413910454</v>
      </c>
      <c r="AG28" s="101">
        <f t="shared" si="34"/>
      </c>
      <c r="AH28" s="318">
        <f t="shared" si="11"/>
      </c>
      <c r="AI28" s="30">
        <f>IF($AH28="","",CalcGammaCY($O28,AE28))</f>
      </c>
      <c r="AJ28" s="328">
        <f t="shared" si="35"/>
      </c>
      <c r="AL28" s="296">
        <f t="shared" si="12"/>
        <v>1</v>
      </c>
      <c r="AM28" s="44">
        <f t="shared" si="13"/>
        <v>1</v>
      </c>
      <c r="AN28" s="50">
        <f t="shared" si="14"/>
        <v>-0.13520036688716386</v>
      </c>
      <c r="AO28" s="51">
        <f t="shared" si="15"/>
        <v>0</v>
      </c>
      <c r="AP28" s="51">
        <f t="shared" si="16"/>
        <v>-0.13520036688716386</v>
      </c>
      <c r="AQ28" s="50">
        <f t="shared" si="17"/>
        <v>-0.3917892690195438</v>
      </c>
      <c r="AR28" s="51">
        <f t="shared" si="18"/>
        <v>0</v>
      </c>
      <c r="AS28" s="51">
        <f t="shared" si="19"/>
        <v>-0.3917892690195438</v>
      </c>
      <c r="AT28" s="50">
        <f t="shared" si="20"/>
        <v>0.08099954139104537</v>
      </c>
      <c r="AU28" s="51">
        <f t="shared" si="21"/>
        <v>0.08099954139104537</v>
      </c>
      <c r="AV28" s="51">
        <f t="shared" si="22"/>
        <v>0</v>
      </c>
      <c r="AW28" s="52">
        <f t="shared" si="36"/>
        <v>1</v>
      </c>
      <c r="AX28" s="52">
        <f t="shared" si="37"/>
        <v>3</v>
      </c>
      <c r="AY28" s="44">
        <f t="shared" si="23"/>
        <v>0.38978186977785806</v>
      </c>
      <c r="AZ28" s="45">
        <f t="shared" si="24"/>
        <v>0.6590102423656465</v>
      </c>
      <c r="BA28" s="46">
        <f t="shared" si="38"/>
      </c>
    </row>
    <row r="29" spans="1:53" ht="13.5">
      <c r="A29" s="19">
        <f>IF('地盤状態入力'!L30="○",1,"")</f>
        <v>1</v>
      </c>
      <c r="B29" s="163">
        <f>'地盤状態入力'!B30</f>
        <v>7.5</v>
      </c>
      <c r="C29" s="164" t="str">
        <f>IF('地盤状態入力'!C30="","",'地盤状態入力'!C30)</f>
        <v>砂質土</v>
      </c>
      <c r="D29" s="165">
        <f>IF('地盤状態入力'!D30="","",'地盤状態入力'!D30)</f>
        <v>21</v>
      </c>
      <c r="E29" s="166">
        <f>IF('地盤状態入力'!E30="","",'地盤状態入力'!E30)</f>
        <v>7</v>
      </c>
      <c r="F29" s="166">
        <f>IF('地盤状態入力'!G30="","",'地盤状態入力'!G30)</f>
        <v>100</v>
      </c>
      <c r="G29" s="167">
        <f>IF('地盤状態入力'!H30="","",'地盤状態入力'!H30)</f>
      </c>
      <c r="H29" s="167">
        <f>IF('地盤状態入力'!I30="","",'地盤状態入力'!I30)</f>
      </c>
      <c r="I29" s="24">
        <f>IF(E29="","",I28+(B29-B28)*'地盤状態入力'!F30)</f>
        <v>119.795</v>
      </c>
      <c r="J29" s="24">
        <f t="shared" si="25"/>
        <v>75.695</v>
      </c>
      <c r="K29" s="24">
        <f t="shared" si="26"/>
        <v>56.095</v>
      </c>
      <c r="L29" s="25">
        <f t="shared" si="27"/>
        <v>0.8875</v>
      </c>
      <c r="M29" s="24">
        <f t="shared" si="28"/>
        <v>9.252284993957579</v>
      </c>
      <c r="N29" s="24">
        <f>IF(E29="","",MAX(MIN(MIN(0.1*'地盤状態入力'!D30+6,0.2*'地盤状態入力'!D30+4),1.2*'地盤状態入力'!D30-6),0))</f>
        <v>8.1</v>
      </c>
      <c r="O29" s="26">
        <f t="shared" si="0"/>
        <v>17.35228499395758</v>
      </c>
      <c r="P29" s="27">
        <f t="shared" si="29"/>
        <v>0.19086344490869875</v>
      </c>
      <c r="Q29" s="28">
        <f t="shared" si="1"/>
        <v>0.2291601866726219</v>
      </c>
      <c r="R29" s="28">
        <f t="shared" si="2"/>
        <v>0.8328822195513663</v>
      </c>
      <c r="S29" s="101">
        <f t="shared" si="30"/>
        <v>0.5222430639019803</v>
      </c>
      <c r="T29" s="318" t="str">
        <f t="shared" si="3"/>
        <v>×</v>
      </c>
      <c r="U29" s="28">
        <f>IF($T29="","",CalcGammaCY($O29,Q29))</f>
        <v>0.8785805627999693</v>
      </c>
      <c r="V29" s="323">
        <f t="shared" si="31"/>
        <v>0.43929028139998466</v>
      </c>
      <c r="W29" s="27">
        <f t="shared" si="4"/>
        <v>0.19086344490869875</v>
      </c>
      <c r="X29" s="28">
        <f t="shared" si="5"/>
        <v>0.3258371404251343</v>
      </c>
      <c r="Y29" s="28">
        <f t="shared" si="6"/>
        <v>0.5857633192449169</v>
      </c>
      <c r="Z29" s="102">
        <f t="shared" si="32"/>
        <v>1.2944896273596347</v>
      </c>
      <c r="AA29" s="92" t="str">
        <f t="shared" si="7"/>
        <v>×</v>
      </c>
      <c r="AB29" s="28">
        <f>IF($AA29="","",CalcGammaCY($O29,X29))</f>
        <v>1.3905677479022827</v>
      </c>
      <c r="AC29" s="28">
        <f t="shared" si="33"/>
        <v>0.6952838739511413</v>
      </c>
      <c r="AD29" s="27">
        <f t="shared" si="8"/>
        <v>0.19086344490869875</v>
      </c>
      <c r="AE29" s="28">
        <f t="shared" si="9"/>
        <v>0.1833281493380975</v>
      </c>
      <c r="AF29" s="28">
        <f t="shared" si="10"/>
        <v>1.041102774439208</v>
      </c>
      <c r="AG29" s="101">
        <f t="shared" si="34"/>
      </c>
      <c r="AH29" s="318">
        <f t="shared" si="11"/>
      </c>
      <c r="AI29" s="30">
        <f>IF($AH29="","",CalcGammaCY($O29,AE29))</f>
      </c>
      <c r="AJ29" s="328">
        <f t="shared" si="35"/>
      </c>
      <c r="AL29" s="296">
        <f t="shared" si="12"/>
        <v>1</v>
      </c>
      <c r="AM29" s="44">
        <f t="shared" si="13"/>
        <v>1</v>
      </c>
      <c r="AN29" s="50">
        <f t="shared" si="14"/>
        <v>-0.16711778044863368</v>
      </c>
      <c r="AO29" s="51">
        <f t="shared" si="15"/>
        <v>0</v>
      </c>
      <c r="AP29" s="51">
        <f t="shared" si="16"/>
        <v>-0.16711778044863368</v>
      </c>
      <c r="AQ29" s="50">
        <f t="shared" si="17"/>
        <v>-0.41423668075508313</v>
      </c>
      <c r="AR29" s="51">
        <f t="shared" si="18"/>
        <v>0</v>
      </c>
      <c r="AS29" s="51">
        <f t="shared" si="19"/>
        <v>-0.41423668075508313</v>
      </c>
      <c r="AT29" s="50">
        <f t="shared" si="20"/>
        <v>0.04110277443920807</v>
      </c>
      <c r="AU29" s="51">
        <f t="shared" si="21"/>
        <v>0.04110277443920807</v>
      </c>
      <c r="AV29" s="51">
        <f t="shared" si="22"/>
        <v>0</v>
      </c>
      <c r="AW29" s="52">
        <f t="shared" si="36"/>
        <v>1</v>
      </c>
      <c r="AX29" s="52">
        <f t="shared" si="37"/>
        <v>3</v>
      </c>
      <c r="AY29" s="44">
        <f t="shared" si="23"/>
        <v>0.43929028139998466</v>
      </c>
      <c r="AZ29" s="45">
        <f t="shared" si="24"/>
        <v>0.6952838739511413</v>
      </c>
      <c r="BA29" s="46">
        <f t="shared" si="38"/>
      </c>
    </row>
    <row r="30" spans="1:53" ht="13.5">
      <c r="A30" s="19">
        <f>IF('地盤状態入力'!L31="○",1,"")</f>
        <v>1</v>
      </c>
      <c r="B30" s="163">
        <f>'地盤状態入力'!B31</f>
        <v>8</v>
      </c>
      <c r="C30" s="164" t="str">
        <f>IF('地盤状態入力'!C31="","",'地盤状態入力'!C31)</f>
        <v>砂質土</v>
      </c>
      <c r="D30" s="165">
        <f>IF('地盤状態入力'!D31="","",'地盤状態入力'!D31)</f>
        <v>21</v>
      </c>
      <c r="E30" s="166">
        <f>IF('地盤状態入力'!E31="","",'地盤状態入力'!E31)</f>
        <v>7</v>
      </c>
      <c r="F30" s="166">
        <f>IF('地盤状態入力'!G31="","",'地盤状態入力'!G31)</f>
        <v>100</v>
      </c>
      <c r="G30" s="167">
        <f>IF('地盤状態入力'!H31="","",'地盤状態入力'!H31)</f>
      </c>
      <c r="H30" s="167">
        <f>IF('地盤状態入力'!I31="","",'地盤状態入力'!I31)</f>
      </c>
      <c r="I30" s="24">
        <f>IF(E30="","",I29+(B30-B29)*'地盤状態入力'!F31)</f>
        <v>127.98</v>
      </c>
      <c r="J30" s="24">
        <f t="shared" si="25"/>
        <v>78.98</v>
      </c>
      <c r="K30" s="24">
        <f t="shared" si="26"/>
        <v>59.379999999999995</v>
      </c>
      <c r="L30" s="25">
        <f t="shared" si="27"/>
        <v>0.88</v>
      </c>
      <c r="M30" s="24">
        <f t="shared" si="28"/>
        <v>8.992718134933495</v>
      </c>
      <c r="N30" s="24">
        <f>IF(E30="","",MAX(MIN(MIN(0.1*'地盤状態入力'!D31+6,0.2*'地盤状態入力'!D31+4),1.2*'地盤状態入力'!D31-6),0))</f>
        <v>8.1</v>
      </c>
      <c r="O30" s="26">
        <f t="shared" si="0"/>
        <v>17.092718134933495</v>
      </c>
      <c r="P30" s="27">
        <f t="shared" si="29"/>
        <v>0.18758676697019674</v>
      </c>
      <c r="Q30" s="28">
        <f t="shared" si="1"/>
        <v>0.23265208857834477</v>
      </c>
      <c r="R30" s="28">
        <f t="shared" si="2"/>
        <v>0.8062973692455272</v>
      </c>
      <c r="S30" s="101">
        <f t="shared" si="30"/>
        <v>0.5811078922634184</v>
      </c>
      <c r="T30" s="318" t="str">
        <f t="shared" si="3"/>
        <v>×</v>
      </c>
      <c r="U30" s="28">
        <f>IF($T30="","",CalcGammaCY($O30,Q30))</f>
        <v>0.9628648174244936</v>
      </c>
      <c r="V30" s="323">
        <f t="shared" si="31"/>
        <v>0.4814324087122468</v>
      </c>
      <c r="W30" s="27">
        <f t="shared" si="4"/>
        <v>0.18758676697019674</v>
      </c>
      <c r="X30" s="28">
        <f t="shared" si="5"/>
        <v>0.330802188447334</v>
      </c>
      <c r="Y30" s="28">
        <f t="shared" si="6"/>
        <v>0.5670662816671839</v>
      </c>
      <c r="Z30" s="102">
        <f t="shared" si="32"/>
        <v>1.2988011549984484</v>
      </c>
      <c r="AA30" s="92" t="str">
        <f t="shared" si="7"/>
        <v>×</v>
      </c>
      <c r="AB30" s="28">
        <f>IF($AA30="","",CalcGammaCY($O30,X30))</f>
        <v>1.4552456897145762</v>
      </c>
      <c r="AC30" s="28">
        <f t="shared" si="33"/>
        <v>0.7276228448572881</v>
      </c>
      <c r="AD30" s="27">
        <f t="shared" si="8"/>
        <v>0.18758676697019674</v>
      </c>
      <c r="AE30" s="28">
        <f t="shared" si="9"/>
        <v>0.18612167086267578</v>
      </c>
      <c r="AF30" s="28">
        <f t="shared" si="10"/>
        <v>1.0078717115569091</v>
      </c>
      <c r="AG30" s="101">
        <f t="shared" si="34"/>
      </c>
      <c r="AH30" s="318">
        <f t="shared" si="11"/>
      </c>
      <c r="AI30" s="30">
        <f>IF($AH30="","",CalcGammaCY($O30,AE30))</f>
      </c>
      <c r="AJ30" s="328">
        <f t="shared" si="35"/>
      </c>
      <c r="AL30" s="296">
        <f t="shared" si="12"/>
        <v>1</v>
      </c>
      <c r="AM30" s="44">
        <f t="shared" si="13"/>
        <v>1</v>
      </c>
      <c r="AN30" s="50">
        <f t="shared" si="14"/>
        <v>-0.1937026307544728</v>
      </c>
      <c r="AO30" s="51">
        <f t="shared" si="15"/>
        <v>0</v>
      </c>
      <c r="AP30" s="51">
        <f t="shared" si="16"/>
        <v>-0.1937026307544728</v>
      </c>
      <c r="AQ30" s="50">
        <f t="shared" si="17"/>
        <v>-0.43293371833281613</v>
      </c>
      <c r="AR30" s="51">
        <f t="shared" si="18"/>
        <v>0</v>
      </c>
      <c r="AS30" s="51">
        <f t="shared" si="19"/>
        <v>-0.43293371833281613</v>
      </c>
      <c r="AT30" s="50">
        <f t="shared" si="20"/>
        <v>0.007871711556909133</v>
      </c>
      <c r="AU30" s="51">
        <f t="shared" si="21"/>
        <v>0.007871711556909133</v>
      </c>
      <c r="AV30" s="51">
        <f t="shared" si="22"/>
        <v>0</v>
      </c>
      <c r="AW30" s="52">
        <f t="shared" si="36"/>
        <v>1</v>
      </c>
      <c r="AX30" s="52">
        <f t="shared" si="37"/>
        <v>3</v>
      </c>
      <c r="AY30" s="44">
        <f t="shared" si="23"/>
        <v>0.4814324087122468</v>
      </c>
      <c r="AZ30" s="45">
        <f t="shared" si="24"/>
        <v>0.7276228448572881</v>
      </c>
      <c r="BA30" s="46">
        <f t="shared" si="38"/>
      </c>
    </row>
    <row r="31" spans="1:53" ht="13.5">
      <c r="A31" s="19">
        <f>IF('地盤状態入力'!L32="○",1,"")</f>
        <v>1</v>
      </c>
      <c r="B31" s="163">
        <f>'地盤状態入力'!B32</f>
        <v>8.5</v>
      </c>
      <c r="C31" s="164" t="str">
        <f>IF('地盤状態入力'!C32="","",'地盤状態入力'!C32)</f>
        <v>砂質土</v>
      </c>
      <c r="D31" s="165">
        <f>IF('地盤状態入力'!D32="","",'地盤状態入力'!D32)</f>
        <v>21</v>
      </c>
      <c r="E31" s="166">
        <f>IF('地盤状態入力'!E32="","",'地盤状態入力'!E32)</f>
        <v>7</v>
      </c>
      <c r="F31" s="166">
        <f>IF('地盤状態入力'!G32="","",'地盤状態入力'!G32)</f>
        <v>100</v>
      </c>
      <c r="G31" s="167">
        <f>IF('地盤状態入力'!H32="","",'地盤状態入力'!H32)</f>
      </c>
      <c r="H31" s="167">
        <f>IF('地盤状態入力'!I32="","",'地盤状態入力'!I32)</f>
      </c>
      <c r="I31" s="24">
        <f>IF(E31="","",I30+(B31-B30)*'地盤状態入力'!F32)</f>
        <v>136.165</v>
      </c>
      <c r="J31" s="24">
        <f t="shared" si="25"/>
        <v>82.26499999999999</v>
      </c>
      <c r="K31" s="24">
        <f t="shared" si="26"/>
        <v>62.66499999999999</v>
      </c>
      <c r="L31" s="25">
        <f t="shared" si="27"/>
        <v>0.8725</v>
      </c>
      <c r="M31" s="24">
        <f t="shared" si="28"/>
        <v>8.753839020586362</v>
      </c>
      <c r="N31" s="24">
        <f>IF(E31="","",MAX(MIN(MIN(0.1*'地盤状態入力'!D32+6,0.2*'地盤状態入力'!D32+4),1.2*'地盤状態入力'!D32-6),0))</f>
        <v>8.1</v>
      </c>
      <c r="O31" s="26">
        <f t="shared" si="0"/>
        <v>16.853839020586364</v>
      </c>
      <c r="P31" s="27">
        <f t="shared" si="29"/>
        <v>0.1847162814200387</v>
      </c>
      <c r="Q31" s="28">
        <f t="shared" si="1"/>
        <v>0.23562161643911134</v>
      </c>
      <c r="R31" s="28">
        <f t="shared" si="2"/>
        <v>0.7839530354286173</v>
      </c>
      <c r="S31" s="101">
        <f t="shared" si="30"/>
        <v>0.6211350231427253</v>
      </c>
      <c r="T31" s="318" t="str">
        <f t="shared" si="3"/>
        <v>×</v>
      </c>
      <c r="U31" s="28">
        <f>IF($T31="","",CalcGammaCY($O31,Q31))</f>
        <v>1.0454129691258818</v>
      </c>
      <c r="V31" s="323">
        <f t="shared" si="31"/>
        <v>0.5227064845629409</v>
      </c>
      <c r="W31" s="27">
        <f t="shared" si="4"/>
        <v>0.1847162814200387</v>
      </c>
      <c r="X31" s="28">
        <f t="shared" si="5"/>
        <v>0.33502448587436146</v>
      </c>
      <c r="Y31" s="28">
        <f t="shared" si="6"/>
        <v>0.5513515853563901</v>
      </c>
      <c r="Z31" s="102">
        <f t="shared" si="32"/>
        <v>1.2898641921003786</v>
      </c>
      <c r="AA31" s="92" t="str">
        <f t="shared" si="7"/>
        <v>×</v>
      </c>
      <c r="AB31" s="28">
        <f>IF($AA31="","",CalcGammaCY($O31,X31))</f>
        <v>1.5132640441548226</v>
      </c>
      <c r="AC31" s="28">
        <f t="shared" si="33"/>
        <v>0.7566320220774113</v>
      </c>
      <c r="AD31" s="27">
        <f t="shared" si="8"/>
        <v>0.1847162814200387</v>
      </c>
      <c r="AE31" s="28">
        <f t="shared" si="9"/>
        <v>0.18849729315128902</v>
      </c>
      <c r="AF31" s="28">
        <f t="shared" si="10"/>
        <v>0.9799412942857718</v>
      </c>
      <c r="AG31" s="101">
        <f t="shared" si="34"/>
        <v>0.057668778928406036</v>
      </c>
      <c r="AH31" s="318" t="str">
        <f t="shared" si="11"/>
        <v>×</v>
      </c>
      <c r="AI31" s="30">
        <f>IF($AH31="","",CalcGammaCY($O31,AE31))</f>
        <v>0.5</v>
      </c>
      <c r="AJ31" s="328">
        <f t="shared" si="35"/>
        <v>0.25</v>
      </c>
      <c r="AL31" s="296">
        <f t="shared" si="12"/>
        <v>1</v>
      </c>
      <c r="AM31" s="44">
        <f t="shared" si="13"/>
        <v>1</v>
      </c>
      <c r="AN31" s="50">
        <f t="shared" si="14"/>
        <v>-0.21604696457138273</v>
      </c>
      <c r="AO31" s="51">
        <f t="shared" si="15"/>
        <v>0</v>
      </c>
      <c r="AP31" s="51">
        <f t="shared" si="16"/>
        <v>-0.21604696457138273</v>
      </c>
      <c r="AQ31" s="50">
        <f t="shared" si="17"/>
        <v>-0.44864841464360994</v>
      </c>
      <c r="AR31" s="51">
        <f t="shared" si="18"/>
        <v>0</v>
      </c>
      <c r="AS31" s="51">
        <f t="shared" si="19"/>
        <v>-0.44864841464360994</v>
      </c>
      <c r="AT31" s="50">
        <f t="shared" si="20"/>
        <v>-0.020058705714228187</v>
      </c>
      <c r="AU31" s="51">
        <f t="shared" si="21"/>
        <v>0</v>
      </c>
      <c r="AV31" s="51">
        <f t="shared" si="22"/>
        <v>-0.020058705714228187</v>
      </c>
      <c r="AW31" s="52">
        <f t="shared" si="36"/>
        <v>1</v>
      </c>
      <c r="AX31" s="52">
        <f t="shared" si="37"/>
        <v>3</v>
      </c>
      <c r="AY31" s="44">
        <f t="shared" si="23"/>
        <v>0.5227064845629409</v>
      </c>
      <c r="AZ31" s="45">
        <f t="shared" si="24"/>
        <v>0.7566320220774113</v>
      </c>
      <c r="BA31" s="46">
        <f t="shared" si="38"/>
        <v>0.25</v>
      </c>
    </row>
    <row r="32" spans="1:53" ht="13.5">
      <c r="A32" s="19">
        <f>IF('地盤状態入力'!L33="○",1,"")</f>
        <v>1</v>
      </c>
      <c r="B32" s="163">
        <f>'地盤状態入力'!B33</f>
        <v>9</v>
      </c>
      <c r="C32" s="164" t="str">
        <f>IF('地盤状態入力'!C33="","",'地盤状態入力'!C33)</f>
        <v>砂質土</v>
      </c>
      <c r="D32" s="165">
        <f>IF('地盤状態入力'!D33="","",'地盤状態入力'!D33)</f>
        <v>21</v>
      </c>
      <c r="E32" s="166">
        <f>IF('地盤状態入力'!E33="","",'地盤状態入力'!E33)</f>
        <v>7</v>
      </c>
      <c r="F32" s="166">
        <f>IF('地盤状態入力'!G33="","",'地盤状態入力'!G33)</f>
        <v>100</v>
      </c>
      <c r="G32" s="167">
        <f>IF('地盤状態入力'!H33="","",'地盤状態入力'!H33)</f>
      </c>
      <c r="H32" s="167">
        <f>IF('地盤状態入力'!I33="","",'地盤状態入力'!I33)</f>
      </c>
      <c r="I32" s="24">
        <f>IF(E32="","",I31+(B32-B31)*'地盤状態入力'!F33)</f>
        <v>144.35</v>
      </c>
      <c r="J32" s="24">
        <f t="shared" si="25"/>
        <v>85.54999999999998</v>
      </c>
      <c r="K32" s="24">
        <f t="shared" si="26"/>
        <v>65.94999999999999</v>
      </c>
      <c r="L32" s="25">
        <f t="shared" si="27"/>
        <v>0.865</v>
      </c>
      <c r="M32" s="24">
        <f t="shared" si="28"/>
        <v>8.533037965573019</v>
      </c>
      <c r="N32" s="24">
        <f>IF(E32="","",MAX(MIN(MIN(0.1*'地盤状態入力'!D33+6,0.2*'地盤状態入力'!D33+4),1.2*'地盤状態入力'!D33-6),0))</f>
        <v>8.1</v>
      </c>
      <c r="O32" s="26">
        <f t="shared" si="0"/>
        <v>16.633037965573017</v>
      </c>
      <c r="P32" s="27">
        <f t="shared" si="29"/>
        <v>0.18217757300329096</v>
      </c>
      <c r="Q32" s="28">
        <f t="shared" si="1"/>
        <v>0.23812894554671626</v>
      </c>
      <c r="R32" s="28">
        <f t="shared" si="2"/>
        <v>0.7650374992634034</v>
      </c>
      <c r="S32" s="101">
        <f t="shared" si="30"/>
        <v>0.6461468770256408</v>
      </c>
      <c r="T32" s="318" t="str">
        <f t="shared" si="3"/>
        <v>×</v>
      </c>
      <c r="U32" s="28">
        <f>IF($T32="","",CalcGammaCY($O32,Q32))</f>
        <v>1.1264005904127794</v>
      </c>
      <c r="V32" s="323">
        <f t="shared" si="31"/>
        <v>0.5632002952063897</v>
      </c>
      <c r="W32" s="27">
        <f t="shared" si="4"/>
        <v>0.18217757300329096</v>
      </c>
      <c r="X32" s="28">
        <f t="shared" si="5"/>
        <v>0.3385895944492372</v>
      </c>
      <c r="Y32" s="28">
        <f t="shared" si="6"/>
        <v>0.5380483511303057</v>
      </c>
      <c r="Z32" s="102">
        <f t="shared" si="32"/>
        <v>1.2703670343916593</v>
      </c>
      <c r="AA32" s="92" t="str">
        <f t="shared" si="7"/>
        <v>×</v>
      </c>
      <c r="AB32" s="28">
        <f>IF($AA32="","",CalcGammaCY($O32,X32))</f>
        <v>1.5655937004231868</v>
      </c>
      <c r="AC32" s="28">
        <f t="shared" si="33"/>
        <v>0.7827968502115934</v>
      </c>
      <c r="AD32" s="27">
        <f t="shared" si="8"/>
        <v>0.18217757300329096</v>
      </c>
      <c r="AE32" s="28">
        <f t="shared" si="9"/>
        <v>0.19050315643737298</v>
      </c>
      <c r="AF32" s="28">
        <f t="shared" si="10"/>
        <v>0.9562968740792543</v>
      </c>
      <c r="AG32" s="101">
        <f t="shared" si="34"/>
        <v>0.12018359628205055</v>
      </c>
      <c r="AH32" s="318" t="str">
        <f t="shared" si="11"/>
        <v>×</v>
      </c>
      <c r="AI32" s="30">
        <f>IF($AH32="","",CalcGammaCY($O32,AE32))</f>
        <v>0.5360167563937386</v>
      </c>
      <c r="AJ32" s="328">
        <f t="shared" si="35"/>
        <v>0.2680083781968693</v>
      </c>
      <c r="AL32" s="296">
        <f t="shared" si="12"/>
        <v>1</v>
      </c>
      <c r="AM32" s="44">
        <f t="shared" si="13"/>
        <v>1</v>
      </c>
      <c r="AN32" s="50">
        <f t="shared" si="14"/>
        <v>-0.23496250073659664</v>
      </c>
      <c r="AO32" s="51">
        <f t="shared" si="15"/>
        <v>0</v>
      </c>
      <c r="AP32" s="51">
        <f t="shared" si="16"/>
        <v>-0.23496250073659664</v>
      </c>
      <c r="AQ32" s="50">
        <f t="shared" si="17"/>
        <v>-0.4619516488696943</v>
      </c>
      <c r="AR32" s="51">
        <f t="shared" si="18"/>
        <v>0</v>
      </c>
      <c r="AS32" s="51">
        <f t="shared" si="19"/>
        <v>-0.4619516488696943</v>
      </c>
      <c r="AT32" s="50">
        <f t="shared" si="20"/>
        <v>-0.043703125920745656</v>
      </c>
      <c r="AU32" s="51">
        <f t="shared" si="21"/>
        <v>0</v>
      </c>
      <c r="AV32" s="51">
        <f t="shared" si="22"/>
        <v>-0.043703125920745656</v>
      </c>
      <c r="AW32" s="52">
        <f t="shared" si="36"/>
        <v>1</v>
      </c>
      <c r="AX32" s="52">
        <f t="shared" si="37"/>
        <v>3</v>
      </c>
      <c r="AY32" s="44">
        <f t="shared" si="23"/>
        <v>0.5632002952063897</v>
      </c>
      <c r="AZ32" s="45">
        <f t="shared" si="24"/>
        <v>0.7827968502115934</v>
      </c>
      <c r="BA32" s="46">
        <f t="shared" si="38"/>
        <v>0.2680083781968693</v>
      </c>
    </row>
    <row r="33" spans="1:53" ht="13.5">
      <c r="A33" s="19">
        <f>IF('地盤状態入力'!L34="○",1,"")</f>
        <v>1</v>
      </c>
      <c r="B33" s="163">
        <f>'地盤状態入力'!B34</f>
        <v>9.5</v>
      </c>
      <c r="C33" s="164" t="str">
        <f>IF('地盤状態入力'!C34="","",'地盤状態入力'!C34)</f>
        <v>粘性土</v>
      </c>
      <c r="D33" s="165">
        <f>IF('地盤状態入力'!D34="","",'地盤状態入力'!D34)</f>
        <v>45</v>
      </c>
      <c r="E33" s="166">
        <f>IF('地盤状態入力'!E34="","",'地盤状態入力'!E34)</f>
        <v>2</v>
      </c>
      <c r="F33" s="166">
        <f>IF('地盤状態入力'!G34="","",'地盤状態入力'!G34)</f>
        <v>100</v>
      </c>
      <c r="G33" s="167">
        <f>IF('地盤状態入力'!H34="","",'地盤状態入力'!H34)</f>
      </c>
      <c r="H33" s="167">
        <f>IF('地盤状態入力'!I34="","",'地盤状態入力'!I34)</f>
      </c>
      <c r="I33" s="24">
        <f>IF(E33="","",I32+(B33-B32)*'地盤状態入力'!F34)</f>
        <v>152.73</v>
      </c>
      <c r="J33" s="24">
        <f t="shared" si="25"/>
        <v>89.02999999999999</v>
      </c>
      <c r="K33" s="24">
        <f t="shared" si="26"/>
        <v>69.42999999999998</v>
      </c>
      <c r="L33" s="25">
        <f t="shared" si="27"/>
        <v>0.8575</v>
      </c>
      <c r="M33" s="24">
        <f t="shared" si="28"/>
        <v>2.376125914733358</v>
      </c>
      <c r="N33" s="24">
        <f>IF(E33="","",MAX(MIN(MIN(0.1*'地盤状態入力'!D34+6,0.2*'地盤状態入力'!D34+4),1.2*'地盤状態入力'!D34-6),0))</f>
        <v>10.5</v>
      </c>
      <c r="O33" s="26">
        <f t="shared" si="0"/>
        <v>12.876125914733358</v>
      </c>
      <c r="P33" s="27">
        <f t="shared" si="29"/>
        <v>0.14973120268324475</v>
      </c>
      <c r="Q33" s="28">
        <f t="shared" si="1"/>
        <v>0.24000562157647906</v>
      </c>
      <c r="R33" s="28">
        <f t="shared" si="2"/>
        <v>0.6238653982341498</v>
      </c>
      <c r="S33" s="101">
        <f t="shared" si="30"/>
        <v>0.9873533296353568</v>
      </c>
      <c r="T33" s="318" t="str">
        <f t="shared" si="3"/>
        <v>×</v>
      </c>
      <c r="U33" s="28">
        <f>IF($T33="","",CalcGammaCY($O33,Q33))</f>
        <v>2.093402746916172</v>
      </c>
      <c r="V33" s="323">
        <f t="shared" si="31"/>
        <v>1.046701373458086</v>
      </c>
      <c r="W33" s="27">
        <f t="shared" si="4"/>
        <v>0.14973120268324475</v>
      </c>
      <c r="X33" s="28">
        <f t="shared" si="5"/>
        <v>0.34125799317905614</v>
      </c>
      <c r="Y33" s="28">
        <f t="shared" si="6"/>
        <v>0.4387624778789625</v>
      </c>
      <c r="Z33" s="102">
        <f t="shared" si="32"/>
        <v>1.4732484955677234</v>
      </c>
      <c r="AA33" s="92" t="str">
        <f t="shared" si="7"/>
        <v>×</v>
      </c>
      <c r="AB33" s="28">
        <f>IF($AA33="","",CalcGammaCY($O33,X33))</f>
        <v>2.523976633969682</v>
      </c>
      <c r="AC33" s="28">
        <f t="shared" si="33"/>
        <v>1.261988316984841</v>
      </c>
      <c r="AD33" s="27">
        <f t="shared" si="8"/>
        <v>0.14973120268324475</v>
      </c>
      <c r="AE33" s="28">
        <f t="shared" si="9"/>
        <v>0.19200449726118318</v>
      </c>
      <c r="AF33" s="28">
        <f t="shared" si="10"/>
        <v>0.7798317477926874</v>
      </c>
      <c r="AG33" s="101">
        <f t="shared" si="34"/>
        <v>0.5779416620441956</v>
      </c>
      <c r="AH33" s="318" t="str">
        <f t="shared" si="11"/>
        <v>×</v>
      </c>
      <c r="AI33" s="30">
        <f>IF($AH33="","",CalcGammaCY($O33,AE33))</f>
        <v>1.6639845294706204</v>
      </c>
      <c r="AJ33" s="328">
        <f t="shared" si="35"/>
        <v>0.8319922647353102</v>
      </c>
      <c r="AL33" s="296">
        <f t="shared" si="12"/>
        <v>1</v>
      </c>
      <c r="AM33" s="44">
        <f t="shared" si="13"/>
        <v>1</v>
      </c>
      <c r="AN33" s="50">
        <f t="shared" si="14"/>
        <v>-0.37613460176585023</v>
      </c>
      <c r="AO33" s="51">
        <f t="shared" si="15"/>
        <v>0</v>
      </c>
      <c r="AP33" s="51">
        <f t="shared" si="16"/>
        <v>-0.37613460176585023</v>
      </c>
      <c r="AQ33" s="50">
        <f t="shared" si="17"/>
        <v>-0.5612375221210375</v>
      </c>
      <c r="AR33" s="51">
        <f t="shared" si="18"/>
        <v>0</v>
      </c>
      <c r="AS33" s="51">
        <f t="shared" si="19"/>
        <v>-0.5612375221210375</v>
      </c>
      <c r="AT33" s="50">
        <f t="shared" si="20"/>
        <v>-0.22016825220731262</v>
      </c>
      <c r="AU33" s="51">
        <f t="shared" si="21"/>
        <v>0</v>
      </c>
      <c r="AV33" s="51">
        <f t="shared" si="22"/>
        <v>-0.22016825220731262</v>
      </c>
      <c r="AW33" s="52">
        <f t="shared" si="36"/>
        <v>1</v>
      </c>
      <c r="AX33" s="52">
        <f t="shared" si="37"/>
        <v>3</v>
      </c>
      <c r="AY33" s="44">
        <f t="shared" si="23"/>
        <v>1.046701373458086</v>
      </c>
      <c r="AZ33" s="45">
        <f t="shared" si="24"/>
        <v>1.261988316984841</v>
      </c>
      <c r="BA33" s="46">
        <f t="shared" si="38"/>
        <v>0.8319922647353102</v>
      </c>
    </row>
    <row r="34" spans="1:53" ht="13.5">
      <c r="A34" s="19">
        <f>IF('地盤状態入力'!L35="○",1,"")</f>
        <v>1</v>
      </c>
      <c r="B34" s="279">
        <f>'地盤状態入力'!B35</f>
        <v>10</v>
      </c>
      <c r="C34" s="280" t="str">
        <f>IF('地盤状態入力'!C35="","",'地盤状態入力'!C35)</f>
        <v>粘性土</v>
      </c>
      <c r="D34" s="281">
        <f>IF('地盤状態入力'!D35="","",'地盤状態入力'!D35)</f>
        <v>45</v>
      </c>
      <c r="E34" s="282">
        <f>IF('地盤状態入力'!E35="","",'地盤状態入力'!E35)</f>
        <v>2</v>
      </c>
      <c r="F34" s="282">
        <f>IF('地盤状態入力'!G35="","",'地盤状態入力'!G35)</f>
        <v>100</v>
      </c>
      <c r="G34" s="283">
        <f>IF('地盤状態入力'!H35="","",'地盤状態入力'!H35)</f>
      </c>
      <c r="H34" s="283">
        <f>IF('地盤状態入力'!I35="","",'地盤状態入力'!I35)</f>
      </c>
      <c r="I34" s="284">
        <f>IF(E34="","",I33+(B34-B33)*'地盤状態入力'!F35)</f>
        <v>161.10999999999999</v>
      </c>
      <c r="J34" s="284">
        <f t="shared" si="25"/>
        <v>92.50999999999998</v>
      </c>
      <c r="K34" s="284">
        <f t="shared" si="26"/>
        <v>72.90999999999998</v>
      </c>
      <c r="L34" s="285">
        <f t="shared" si="27"/>
        <v>0.85</v>
      </c>
      <c r="M34" s="284">
        <f t="shared" si="28"/>
        <v>2.318726280728944</v>
      </c>
      <c r="N34" s="284">
        <f>IF(E34="","",MAX(MIN(MIN(0.1*'地盤状態入力'!D35+6,0.2*'地盤状態入力'!D35+4),1.2*'地盤状態入力'!D35-6),0))</f>
        <v>10.5</v>
      </c>
      <c r="O34" s="288">
        <f t="shared" si="0"/>
        <v>12.818726280728944</v>
      </c>
      <c r="P34" s="258">
        <f t="shared" si="29"/>
        <v>0.14932666274670925</v>
      </c>
      <c r="Q34" s="260">
        <f t="shared" si="1"/>
        <v>0.2415194157811142</v>
      </c>
      <c r="R34" s="260">
        <f t="shared" si="2"/>
        <v>0.6182801588177159</v>
      </c>
      <c r="S34" s="455">
        <f t="shared" si="30"/>
        <v>0.9542996029557103</v>
      </c>
      <c r="T34" s="320" t="str">
        <f t="shared" si="3"/>
        <v>×</v>
      </c>
      <c r="U34" s="260">
        <f>IF($T34="","",CalcGammaCY($O34,Q34))</f>
        <v>2.12937202711211</v>
      </c>
      <c r="V34" s="324">
        <f t="shared" si="31"/>
        <v>1.064686013556055</v>
      </c>
      <c r="W34" s="258">
        <f t="shared" si="4"/>
        <v>0.14932666274670925</v>
      </c>
      <c r="X34" s="260">
        <f t="shared" si="5"/>
        <v>0.34341041931377175</v>
      </c>
      <c r="Y34" s="260">
        <f t="shared" si="6"/>
        <v>0.43483439741026175</v>
      </c>
      <c r="Z34" s="455">
        <f t="shared" si="32"/>
        <v>1.4129140064743457</v>
      </c>
      <c r="AA34" s="261" t="str">
        <f t="shared" si="7"/>
        <v>×</v>
      </c>
      <c r="AB34" s="260">
        <f>IF($AA34="","",CalcGammaCY($O34,X34))</f>
        <v>2.5478382367542536</v>
      </c>
      <c r="AC34" s="260">
        <f t="shared" si="33"/>
        <v>1.2739191183771268</v>
      </c>
      <c r="AD34" s="258">
        <f t="shared" si="8"/>
        <v>0.14932666274670925</v>
      </c>
      <c r="AE34" s="260">
        <f t="shared" si="9"/>
        <v>0.19321553262489133</v>
      </c>
      <c r="AF34" s="260">
        <f t="shared" si="10"/>
        <v>0.772850198522145</v>
      </c>
      <c r="AG34" s="455">
        <f t="shared" si="34"/>
        <v>0.5678745036946375</v>
      </c>
      <c r="AH34" s="320" t="str">
        <f t="shared" si="11"/>
        <v>×</v>
      </c>
      <c r="AI34" s="287">
        <f>IF($AH34="","",CalcGammaCY($O34,AE34))</f>
        <v>1.6946918714231178</v>
      </c>
      <c r="AJ34" s="329">
        <f t="shared" si="35"/>
        <v>0.8473459357115589</v>
      </c>
      <c r="AL34" s="297">
        <f t="shared" si="12"/>
        <v>1</v>
      </c>
      <c r="AM34" s="289">
        <f t="shared" si="13"/>
        <v>1</v>
      </c>
      <c r="AN34" s="290">
        <f t="shared" si="14"/>
        <v>-0.3817198411822841</v>
      </c>
      <c r="AO34" s="291">
        <f t="shared" si="15"/>
        <v>0</v>
      </c>
      <c r="AP34" s="291">
        <f t="shared" si="16"/>
        <v>-0.3817198411822841</v>
      </c>
      <c r="AQ34" s="290">
        <f t="shared" si="17"/>
        <v>-0.5651656025897382</v>
      </c>
      <c r="AR34" s="291">
        <f t="shared" si="18"/>
        <v>0</v>
      </c>
      <c r="AS34" s="291">
        <f t="shared" si="19"/>
        <v>-0.5651656025897382</v>
      </c>
      <c r="AT34" s="290">
        <f t="shared" si="20"/>
        <v>-0.22714980147785502</v>
      </c>
      <c r="AU34" s="291">
        <f t="shared" si="21"/>
        <v>0</v>
      </c>
      <c r="AV34" s="291">
        <f t="shared" si="22"/>
        <v>-0.22714980147785502</v>
      </c>
      <c r="AW34" s="292">
        <f t="shared" si="36"/>
        <v>1</v>
      </c>
      <c r="AX34" s="292">
        <f t="shared" si="37"/>
        <v>3</v>
      </c>
      <c r="AY34" s="289">
        <f t="shared" si="23"/>
        <v>1.064686013556055</v>
      </c>
      <c r="AZ34" s="293">
        <f t="shared" si="24"/>
        <v>1.2739191183771268</v>
      </c>
      <c r="BA34" s="46">
        <f t="shared" si="38"/>
        <v>0.8473459357115589</v>
      </c>
    </row>
    <row r="35" spans="1:53" ht="13.5">
      <c r="A35" s="19">
        <f>IF('地盤状態入力'!L36="○",1,"")</f>
        <v>1</v>
      </c>
      <c r="B35" s="163">
        <f>'地盤状態入力'!B36</f>
        <v>10.5</v>
      </c>
      <c r="C35" s="164" t="str">
        <f>IF('地盤状態入力'!C36="","",'地盤状態入力'!C36)</f>
        <v>粘性土</v>
      </c>
      <c r="D35" s="165">
        <f>IF('地盤状態入力'!D36="","",'地盤状態入力'!D36)</f>
        <v>45</v>
      </c>
      <c r="E35" s="166">
        <f>IF('地盤状態入力'!E36="","",'地盤状態入力'!E36)</f>
        <v>2</v>
      </c>
      <c r="F35" s="166">
        <f>IF('地盤状態入力'!G36="","",'地盤状態入力'!G36)</f>
        <v>100</v>
      </c>
      <c r="G35" s="167">
        <f>IF('地盤状態入力'!H36="","",'地盤状態入力'!H36)</f>
      </c>
      <c r="H35" s="167">
        <f>IF('地盤状態入力'!I36="","",'地盤状態入力'!I36)</f>
      </c>
      <c r="I35" s="24">
        <f>IF(E35="","",B35*'地盤状態入力'!F36)</f>
        <v>175.98000000000002</v>
      </c>
      <c r="J35" s="24">
        <f t="shared" si="25"/>
        <v>102.48000000000002</v>
      </c>
      <c r="K35" s="24">
        <f t="shared" si="26"/>
        <v>82.88000000000001</v>
      </c>
      <c r="L35" s="25">
        <f t="shared" si="27"/>
        <v>0.8425</v>
      </c>
      <c r="M35" s="24">
        <f t="shared" si="28"/>
        <v>2.1747941810042</v>
      </c>
      <c r="N35" s="24">
        <f>IF(E35="","",MAX(MIN(MIN(0.1*'地盤状態入力'!D36+6,0.2*'地盤状態入力'!D36+4),1.2*'地盤状態入力'!D36-6),0))</f>
        <v>10.5</v>
      </c>
      <c r="O35" s="26">
        <f t="shared" si="0"/>
        <v>12.6747941810042</v>
      </c>
      <c r="P35" s="27">
        <f>IF(E35="","",0.45*0.57*(0.16*SQRT(O35)+(0.2*SQRT(O35))^14)*$AM35)</f>
        <v>0.14831776441533384</v>
      </c>
      <c r="Q35" s="28">
        <f t="shared" si="1"/>
        <v>0.23604424331331544</v>
      </c>
      <c r="R35" s="28">
        <f t="shared" si="2"/>
        <v>0.6283473061381248</v>
      </c>
      <c r="S35" s="101">
        <f t="shared" si="30"/>
        <v>0.8826751479219535</v>
      </c>
      <c r="T35" s="318" t="str">
        <f t="shared" si="3"/>
        <v>×</v>
      </c>
      <c r="U35" s="28">
        <f>IF($T35="","",CalcGammaCY($O35,Q35))</f>
        <v>2.1373949181322507</v>
      </c>
      <c r="V35" s="323">
        <f t="shared" si="31"/>
        <v>1.0686974590661253</v>
      </c>
      <c r="W35" s="27">
        <f t="shared" si="4"/>
        <v>0.14831776441533384</v>
      </c>
      <c r="X35" s="28">
        <f t="shared" si="5"/>
        <v>0.33562540846112043</v>
      </c>
      <c r="Y35" s="28">
        <f t="shared" si="6"/>
        <v>0.4419145889323075</v>
      </c>
      <c r="Z35" s="102">
        <f t="shared" si="32"/>
        <v>1.3254528512857697</v>
      </c>
      <c r="AA35" s="92" t="str">
        <f t="shared" si="7"/>
        <v>×</v>
      </c>
      <c r="AB35" s="28">
        <f>IF($AA35="","",CalcGammaCY($O35,X35))</f>
        <v>2.5771947250683813</v>
      </c>
      <c r="AC35" s="28">
        <f t="shared" si="33"/>
        <v>1.2885973625341907</v>
      </c>
      <c r="AD35" s="27">
        <f t="shared" si="8"/>
        <v>0.14831776441533384</v>
      </c>
      <c r="AE35" s="28">
        <f t="shared" si="9"/>
        <v>0.18883539465065233</v>
      </c>
      <c r="AF35" s="28">
        <f t="shared" si="10"/>
        <v>0.7854341326726562</v>
      </c>
      <c r="AG35" s="101">
        <f t="shared" si="34"/>
        <v>0.5095939349024416</v>
      </c>
      <c r="AH35" s="318" t="str">
        <f t="shared" si="11"/>
        <v>×</v>
      </c>
      <c r="AI35" s="30">
        <f>IF($AH35="","",CalcGammaCY($O35,AE35))</f>
        <v>1.686058913362462</v>
      </c>
      <c r="AJ35" s="328">
        <f t="shared" si="35"/>
        <v>0.843029456681231</v>
      </c>
      <c r="AL35" s="296">
        <f t="shared" si="12"/>
        <v>1</v>
      </c>
      <c r="AM35" s="44">
        <f t="shared" si="13"/>
        <v>1</v>
      </c>
      <c r="AN35" s="50">
        <f t="shared" si="14"/>
        <v>-0.37165269386187516</v>
      </c>
      <c r="AO35" s="51">
        <f t="shared" si="15"/>
        <v>0</v>
      </c>
      <c r="AP35" s="51">
        <f t="shared" si="16"/>
        <v>-0.37165269386187516</v>
      </c>
      <c r="AQ35" s="50">
        <f t="shared" si="17"/>
        <v>-0.5580854110676925</v>
      </c>
      <c r="AR35" s="51">
        <f t="shared" si="18"/>
        <v>0</v>
      </c>
      <c r="AS35" s="51">
        <f t="shared" si="19"/>
        <v>-0.5580854110676925</v>
      </c>
      <c r="AT35" s="50">
        <f t="shared" si="20"/>
        <v>-0.21456586732734384</v>
      </c>
      <c r="AU35" s="51">
        <f t="shared" si="21"/>
        <v>0</v>
      </c>
      <c r="AV35" s="51">
        <f t="shared" si="22"/>
        <v>-0.21456586732734384</v>
      </c>
      <c r="AW35" s="52">
        <f t="shared" si="36"/>
        <v>1</v>
      </c>
      <c r="AX35" s="52">
        <f t="shared" si="37"/>
        <v>3</v>
      </c>
      <c r="AY35" s="44">
        <f t="shared" si="23"/>
        <v>1.0686974590661253</v>
      </c>
      <c r="AZ35" s="45">
        <f t="shared" si="24"/>
        <v>1.2885973625341907</v>
      </c>
      <c r="BA35" s="46">
        <f t="shared" si="38"/>
        <v>0.843029456681231</v>
      </c>
    </row>
    <row r="36" spans="1:53" ht="13.5">
      <c r="A36" s="19">
        <f>IF('地盤状態入力'!L37="○",1,"")</f>
        <v>1</v>
      </c>
      <c r="B36" s="163">
        <f>'地盤状態入力'!B37</f>
        <v>11</v>
      </c>
      <c r="C36" s="164" t="str">
        <f>IF('地盤状態入力'!C37="","",'地盤状態入力'!C37)</f>
        <v>粘性土</v>
      </c>
      <c r="D36" s="165">
        <f>IF('地盤状態入力'!D37="","",'地盤状態入力'!D37)</f>
        <v>45</v>
      </c>
      <c r="E36" s="166">
        <f>IF('地盤状態入力'!E37="","",'地盤状態入力'!E37)</f>
        <v>2</v>
      </c>
      <c r="F36" s="166">
        <f>IF('地盤状態入力'!G37="","",'地盤状態入力'!G37)</f>
        <v>100</v>
      </c>
      <c r="G36" s="167">
        <f>IF('地盤状態入力'!H37="","",'地盤状態入力'!H37)</f>
      </c>
      <c r="H36" s="167">
        <f>IF('地盤状態入力'!I37="","",'地盤状態入力'!I37)</f>
      </c>
      <c r="I36" s="24">
        <f>IF(E36="","",I35+(B36-B35)*'地盤状態入力'!F37)</f>
        <v>184.36</v>
      </c>
      <c r="J36" s="24">
        <f t="shared" si="25"/>
        <v>105.96000000000001</v>
      </c>
      <c r="K36" s="24">
        <f t="shared" si="26"/>
        <v>86.36000000000001</v>
      </c>
      <c r="L36" s="25">
        <f t="shared" si="27"/>
        <v>0.835</v>
      </c>
      <c r="M36" s="24">
        <f t="shared" si="28"/>
        <v>2.1305254023460236</v>
      </c>
      <c r="N36" s="24">
        <f>IF(E36="","",MAX(MIN(MIN(0.1*'地盤状態入力'!D37+6,0.2*'地盤状態入力'!D37+4),1.2*'地盤状態入力'!D37-6),0))</f>
        <v>10.5</v>
      </c>
      <c r="O36" s="26">
        <f t="shared" si="0"/>
        <v>12.630525402346024</v>
      </c>
      <c r="P36" s="27">
        <f aca="true" t="shared" si="39" ref="P36:P54">IF(E36="","",0.45*0.57*(0.16*SQRT(O36)+(0.2*SQRT(O36))^14)*AM36)</f>
        <v>0.14800895413581824</v>
      </c>
      <c r="Q36" s="28">
        <f t="shared" si="1"/>
        <v>0.2370339383247264</v>
      </c>
      <c r="R36" s="28">
        <f t="shared" si="2"/>
        <v>0.6244209381234356</v>
      </c>
      <c r="S36" s="101">
        <f t="shared" si="30"/>
        <v>0.84505288922227</v>
      </c>
      <c r="T36" s="318" t="str">
        <f t="shared" si="3"/>
        <v>×</v>
      </c>
      <c r="U36" s="28">
        <f>IF($T36="","",CalcGammaCY($O36,Q36))</f>
        <v>2.1637739411719945</v>
      </c>
      <c r="V36" s="323">
        <f t="shared" si="31"/>
        <v>1.0818869705859973</v>
      </c>
      <c r="W36" s="27">
        <f t="shared" si="4"/>
        <v>0.14800895413581824</v>
      </c>
      <c r="X36" s="28">
        <f t="shared" si="5"/>
        <v>0.3370326310554704</v>
      </c>
      <c r="Y36" s="28">
        <f t="shared" si="6"/>
        <v>0.43915318725164704</v>
      </c>
      <c r="Z36" s="102">
        <f t="shared" si="32"/>
        <v>1.2619053286837942</v>
      </c>
      <c r="AA36" s="92" t="str">
        <f t="shared" si="7"/>
        <v>×</v>
      </c>
      <c r="AB36" s="28">
        <f>IF($AA36="","",CalcGammaCY($O36,X36))</f>
        <v>2.5950487926745818</v>
      </c>
      <c r="AC36" s="28">
        <f t="shared" si="33"/>
        <v>1.2975243963372909</v>
      </c>
      <c r="AD36" s="27">
        <f t="shared" si="8"/>
        <v>0.14800895413581824</v>
      </c>
      <c r="AE36" s="28">
        <f t="shared" si="9"/>
        <v>0.1896271506597811</v>
      </c>
      <c r="AF36" s="28">
        <f t="shared" si="10"/>
        <v>0.7805261726542946</v>
      </c>
      <c r="AG36" s="101">
        <f t="shared" si="34"/>
        <v>0.4938161115278372</v>
      </c>
      <c r="AH36" s="318" t="str">
        <f t="shared" si="11"/>
        <v>×</v>
      </c>
      <c r="AI36" s="30">
        <f>IF($AH36="","",CalcGammaCY($O36,AE36))</f>
        <v>1.710438021146423</v>
      </c>
      <c r="AJ36" s="328">
        <f t="shared" si="35"/>
        <v>0.8552190105732115</v>
      </c>
      <c r="AL36" s="296">
        <f t="shared" si="12"/>
        <v>1</v>
      </c>
      <c r="AM36" s="44">
        <f t="shared" si="13"/>
        <v>1</v>
      </c>
      <c r="AN36" s="50">
        <f t="shared" si="14"/>
        <v>-0.3755790618765644</v>
      </c>
      <c r="AO36" s="51">
        <f t="shared" si="15"/>
        <v>0</v>
      </c>
      <c r="AP36" s="51">
        <f t="shared" si="16"/>
        <v>-0.3755790618765644</v>
      </c>
      <c r="AQ36" s="50">
        <f t="shared" si="17"/>
        <v>-0.560846812748353</v>
      </c>
      <c r="AR36" s="51">
        <f t="shared" si="18"/>
        <v>0</v>
      </c>
      <c r="AS36" s="51">
        <f t="shared" si="19"/>
        <v>-0.560846812748353</v>
      </c>
      <c r="AT36" s="50">
        <f t="shared" si="20"/>
        <v>-0.21947382734570542</v>
      </c>
      <c r="AU36" s="51">
        <f t="shared" si="21"/>
        <v>0</v>
      </c>
      <c r="AV36" s="51">
        <f t="shared" si="22"/>
        <v>-0.21947382734570542</v>
      </c>
      <c r="AW36" s="52">
        <f t="shared" si="36"/>
        <v>1</v>
      </c>
      <c r="AX36" s="52">
        <f t="shared" si="37"/>
        <v>3</v>
      </c>
      <c r="AY36" s="44">
        <f t="shared" si="23"/>
        <v>1.0818869705859973</v>
      </c>
      <c r="AZ36" s="45">
        <f t="shared" si="24"/>
        <v>1.2975243963372909</v>
      </c>
      <c r="BA36" s="46">
        <f t="shared" si="38"/>
        <v>0.8552190105732115</v>
      </c>
    </row>
    <row r="37" spans="1:53" ht="13.5">
      <c r="A37" s="19">
        <f>IF('地盤状態入力'!L38="○",1,"")</f>
        <v>1</v>
      </c>
      <c r="B37" s="163">
        <f>'地盤状態入力'!B38</f>
        <v>11.5</v>
      </c>
      <c r="C37" s="164" t="str">
        <f>IF('地盤状態入力'!C38="","",'地盤状態入力'!C38)</f>
        <v>砂質土</v>
      </c>
      <c r="D37" s="165">
        <f>IF('地盤状態入力'!D38="","",'地盤状態入力'!D38)</f>
        <v>6</v>
      </c>
      <c r="E37" s="166">
        <f>IF('地盤状態入力'!E38="","",'地盤状態入力'!E38)</f>
        <v>22</v>
      </c>
      <c r="F37" s="166">
        <f>IF('地盤状態入力'!G38="","",'地盤状態入力'!G38)</f>
        <v>100</v>
      </c>
      <c r="G37" s="167">
        <f>IF('地盤状態入力'!H38="","",'地盤状態入力'!H38)</f>
      </c>
      <c r="H37" s="167">
        <f>IF('地盤状態入力'!I38="","",'地盤状態入力'!I38)</f>
      </c>
      <c r="I37" s="24">
        <f>IF(E37="","",I36+(B37-B36)*'地盤状態入力'!F38)</f>
        <v>192.59</v>
      </c>
      <c r="J37" s="24">
        <f t="shared" si="25"/>
        <v>109.28999999999999</v>
      </c>
      <c r="K37" s="24">
        <f t="shared" si="26"/>
        <v>89.69</v>
      </c>
      <c r="L37" s="25">
        <f t="shared" si="27"/>
        <v>0.8275</v>
      </c>
      <c r="M37" s="24">
        <f t="shared" si="28"/>
        <v>22.996603994827254</v>
      </c>
      <c r="N37" s="24">
        <f>IF(E37="","",MAX(MIN(MIN(0.1*'地盤状態入力'!D38+6,0.2*'地盤状態入力'!D38+4),1.2*'地盤状態入力'!D38-6),0))</f>
        <v>1.1999999999999993</v>
      </c>
      <c r="O37" s="26">
        <f t="shared" si="0"/>
        <v>24.196603994827253</v>
      </c>
      <c r="P37" s="27">
        <f t="shared" si="39"/>
        <v>0.4059501975159355</v>
      </c>
      <c r="Q37" s="28">
        <f t="shared" si="1"/>
        <v>0.2379143385356602</v>
      </c>
      <c r="R37" s="28">
        <f t="shared" si="2"/>
        <v>1.7062872293217792</v>
      </c>
      <c r="S37" s="101">
        <f t="shared" si="30"/>
      </c>
      <c r="T37" s="318">
        <f t="shared" si="3"/>
      </c>
      <c r="U37" s="28">
        <f>IF($T37="","",CalcGammaCY($O37,Q37))</f>
      </c>
      <c r="V37" s="323">
        <f t="shared" si="31"/>
      </c>
      <c r="W37" s="27">
        <f t="shared" si="4"/>
        <v>0.4059501975159355</v>
      </c>
      <c r="X37" s="28">
        <f t="shared" si="5"/>
        <v>0.3382844501053919</v>
      </c>
      <c r="Y37" s="28">
        <f t="shared" si="6"/>
        <v>1.2000261832592733</v>
      </c>
      <c r="Z37" s="102">
        <f t="shared" si="32"/>
      </c>
      <c r="AA37" s="92">
        <f t="shared" si="7"/>
      </c>
      <c r="AB37" s="28">
        <f>IF($AA37="","",CalcGammaCY($O37,X37))</f>
      </c>
      <c r="AC37" s="28">
        <f t="shared" si="33"/>
      </c>
      <c r="AD37" s="27">
        <f t="shared" si="8"/>
        <v>0.4059501975159355</v>
      </c>
      <c r="AE37" s="28">
        <f t="shared" si="9"/>
        <v>0.19033147082852817</v>
      </c>
      <c r="AF37" s="28">
        <f t="shared" si="10"/>
        <v>2.132859036652224</v>
      </c>
      <c r="AG37" s="101">
        <f t="shared" si="34"/>
      </c>
      <c r="AH37" s="318">
        <f t="shared" si="11"/>
      </c>
      <c r="AI37" s="30">
        <f>IF($AH37="","",CalcGammaCY($O37,AE37))</f>
      </c>
      <c r="AJ37" s="328">
        <f t="shared" si="35"/>
      </c>
      <c r="AL37" s="296">
        <f t="shared" si="12"/>
        <v>1</v>
      </c>
      <c r="AM37" s="44">
        <f t="shared" si="13"/>
        <v>1</v>
      </c>
      <c r="AN37" s="50">
        <f t="shared" si="14"/>
        <v>0.7062872293217792</v>
      </c>
      <c r="AO37" s="51">
        <f t="shared" si="15"/>
        <v>0.7062872293217792</v>
      </c>
      <c r="AP37" s="51">
        <f t="shared" si="16"/>
        <v>0</v>
      </c>
      <c r="AQ37" s="50">
        <f t="shared" si="17"/>
        <v>0.20002618325927335</v>
      </c>
      <c r="AR37" s="51">
        <f t="shared" si="18"/>
        <v>0.20002618325927335</v>
      </c>
      <c r="AS37" s="51">
        <f t="shared" si="19"/>
        <v>0</v>
      </c>
      <c r="AT37" s="50">
        <f t="shared" si="20"/>
        <v>1.1328590366522242</v>
      </c>
      <c r="AU37" s="51">
        <f t="shared" si="21"/>
        <v>1.1328590366522242</v>
      </c>
      <c r="AV37" s="51">
        <f t="shared" si="22"/>
        <v>0</v>
      </c>
      <c r="AW37" s="52">
        <f t="shared" si="36"/>
        <v>1</v>
      </c>
      <c r="AX37" s="52">
        <f t="shared" si="37"/>
        <v>3</v>
      </c>
      <c r="AY37" s="44">
        <f t="shared" si="23"/>
      </c>
      <c r="AZ37" s="45">
        <f t="shared" si="24"/>
      </c>
      <c r="BA37" s="46">
        <f t="shared" si="38"/>
      </c>
    </row>
    <row r="38" spans="1:53" ht="13.5">
      <c r="A38" s="19">
        <f>IF('地盤状態入力'!L39="○",1,"")</f>
        <v>1</v>
      </c>
      <c r="B38" s="163">
        <f>'地盤状態入力'!B39</f>
        <v>12</v>
      </c>
      <c r="C38" s="164" t="str">
        <f>IF('地盤状態入力'!C39="","",'地盤状態入力'!C39)</f>
        <v>砂質土</v>
      </c>
      <c r="D38" s="165">
        <f>IF('地盤状態入力'!D39="","",'地盤状態入力'!D39)</f>
        <v>6</v>
      </c>
      <c r="E38" s="166">
        <f>IF('地盤状態入力'!E39="","",'地盤状態入力'!E39)</f>
        <v>22</v>
      </c>
      <c r="F38" s="166">
        <f>IF('地盤状態入力'!G39="","",'地盤状態入力'!G39)</f>
        <v>100</v>
      </c>
      <c r="G38" s="167">
        <f>IF('地盤状態入力'!H39="","",'地盤状態入力'!H39)</f>
      </c>
      <c r="H38" s="167">
        <f>IF('地盤状態入力'!I39="","",'地盤状態入力'!I39)</f>
      </c>
      <c r="I38" s="24">
        <f>IF(E38="","",I37+(B38-B37)*'地盤状態入力'!F39)</f>
        <v>200.82</v>
      </c>
      <c r="J38" s="24">
        <f t="shared" si="25"/>
        <v>112.61999999999999</v>
      </c>
      <c r="K38" s="24">
        <f t="shared" si="26"/>
        <v>93.01999999999998</v>
      </c>
      <c r="L38" s="25">
        <f t="shared" si="27"/>
        <v>0.8200000000000001</v>
      </c>
      <c r="M38" s="24">
        <f t="shared" si="28"/>
        <v>22.5812277548109</v>
      </c>
      <c r="N38" s="24">
        <f>IF(E38="","",MAX(MIN(MIN(0.1*'地盤状態入力'!D39+6,0.2*'地盤状態入力'!D39+4),1.2*'地盤状態入力'!D39-6),0))</f>
        <v>1.1999999999999993</v>
      </c>
      <c r="O38" s="26">
        <f t="shared" si="0"/>
        <v>23.7812277548109</v>
      </c>
      <c r="P38" s="27">
        <f t="shared" si="39"/>
        <v>0.3809143461668887</v>
      </c>
      <c r="Q38" s="28">
        <f t="shared" si="1"/>
        <v>0.23856383038179593</v>
      </c>
      <c r="R38" s="28">
        <f t="shared" si="2"/>
        <v>1.5966978127290963</v>
      </c>
      <c r="S38" s="101">
        <f t="shared" si="30"/>
      </c>
      <c r="T38" s="318">
        <f t="shared" si="3"/>
      </c>
      <c r="U38" s="28">
        <f>IF($T38="","",CalcGammaCY($O38,Q38))</f>
      </c>
      <c r="V38" s="323">
        <f t="shared" si="31"/>
      </c>
      <c r="W38" s="27">
        <f t="shared" si="4"/>
        <v>0.3809143461668887</v>
      </c>
      <c r="X38" s="28">
        <f t="shared" si="5"/>
        <v>0.3392079463241161</v>
      </c>
      <c r="Y38" s="28">
        <f t="shared" si="6"/>
        <v>1.1229523078534303</v>
      </c>
      <c r="Z38" s="102">
        <f t="shared" si="32"/>
      </c>
      <c r="AA38" s="92">
        <f t="shared" si="7"/>
      </c>
      <c r="AB38" s="28">
        <f>IF($AA38="","",CalcGammaCY($O38,X38))</f>
      </c>
      <c r="AC38" s="28">
        <f t="shared" si="33"/>
      </c>
      <c r="AD38" s="27">
        <f t="shared" si="8"/>
        <v>0.3809143461668887</v>
      </c>
      <c r="AE38" s="28">
        <f t="shared" si="9"/>
        <v>0.19085106430543675</v>
      </c>
      <c r="AF38" s="28">
        <f t="shared" si="10"/>
        <v>1.9958722659113703</v>
      </c>
      <c r="AG38" s="101">
        <f t="shared" si="34"/>
      </c>
      <c r="AH38" s="318">
        <f t="shared" si="11"/>
      </c>
      <c r="AI38" s="30">
        <f>IF($AH38="","",CalcGammaCY($O38,AE38))</f>
      </c>
      <c r="AJ38" s="328">
        <f t="shared" si="35"/>
      </c>
      <c r="AL38" s="296">
        <f t="shared" si="12"/>
        <v>1</v>
      </c>
      <c r="AM38" s="44">
        <f t="shared" si="13"/>
        <v>1</v>
      </c>
      <c r="AN38" s="50">
        <f t="shared" si="14"/>
        <v>0.5966978127290963</v>
      </c>
      <c r="AO38" s="51">
        <f t="shared" si="15"/>
        <v>0.5966978127290963</v>
      </c>
      <c r="AP38" s="51">
        <f t="shared" si="16"/>
        <v>0</v>
      </c>
      <c r="AQ38" s="50">
        <f t="shared" si="17"/>
        <v>0.12295230785343025</v>
      </c>
      <c r="AR38" s="51">
        <f t="shared" si="18"/>
        <v>0.12295230785343025</v>
      </c>
      <c r="AS38" s="51">
        <f t="shared" si="19"/>
        <v>0</v>
      </c>
      <c r="AT38" s="50">
        <f t="shared" si="20"/>
        <v>0.9958722659113703</v>
      </c>
      <c r="AU38" s="51">
        <f t="shared" si="21"/>
        <v>0.9958722659113703</v>
      </c>
      <c r="AV38" s="51">
        <f t="shared" si="22"/>
        <v>0</v>
      </c>
      <c r="AW38" s="52">
        <f t="shared" si="36"/>
        <v>1</v>
      </c>
      <c r="AX38" s="52">
        <f t="shared" si="37"/>
        <v>3</v>
      </c>
      <c r="AY38" s="44">
        <f t="shared" si="23"/>
      </c>
      <c r="AZ38" s="45">
        <f t="shared" si="24"/>
      </c>
      <c r="BA38" s="46">
        <f t="shared" si="38"/>
      </c>
    </row>
    <row r="39" spans="1:53" ht="13.5">
      <c r="A39" s="19">
        <f>IF('地盤状態入力'!L40="○",1,"")</f>
        <v>1</v>
      </c>
      <c r="B39" s="163">
        <f>'地盤状態入力'!B40</f>
        <v>12.5</v>
      </c>
      <c r="C39" s="164" t="str">
        <f>IF('地盤状態入力'!C40="","",'地盤状態入力'!C40)</f>
        <v>砂質土</v>
      </c>
      <c r="D39" s="165">
        <f>IF('地盤状態入力'!D40="","",'地盤状態入力'!D40)</f>
        <v>6</v>
      </c>
      <c r="E39" s="166">
        <f>IF('地盤状態入力'!E40="","",'地盤状態入力'!E40)</f>
        <v>22</v>
      </c>
      <c r="F39" s="166">
        <f>IF('地盤状態入力'!G40="","",'地盤状態入力'!G40)</f>
        <v>100</v>
      </c>
      <c r="G39" s="167">
        <f>IF('地盤状態入力'!H40="","",'地盤状態入力'!H40)</f>
      </c>
      <c r="H39" s="167">
        <f>IF('地盤状態入力'!I40="","",'地盤状態入力'!I40)</f>
      </c>
      <c r="I39" s="24">
        <f>IF(E39="","",I38+(B39-B38)*'地盤状態入力'!F40)</f>
        <v>209.04999999999998</v>
      </c>
      <c r="J39" s="24">
        <f t="shared" si="25"/>
        <v>115.94999999999997</v>
      </c>
      <c r="K39" s="24">
        <f t="shared" si="26"/>
        <v>96.34999999999998</v>
      </c>
      <c r="L39" s="25">
        <f t="shared" si="27"/>
        <v>0.8125</v>
      </c>
      <c r="M39" s="24">
        <f t="shared" si="28"/>
        <v>22.187576059496728</v>
      </c>
      <c r="N39" s="24">
        <f>IF(E39="","",MAX(MIN(MIN(0.1*'地盤状態入力'!D40+6,0.2*'地盤状態入力'!D40+4),1.2*'地盤状態入力'!D40-6),0))</f>
        <v>1.1999999999999993</v>
      </c>
      <c r="O39" s="26">
        <f t="shared" si="0"/>
        <v>23.387576059496727</v>
      </c>
      <c r="P39" s="27">
        <f t="shared" si="39"/>
        <v>0.35931593080728363</v>
      </c>
      <c r="Q39" s="28">
        <f t="shared" si="1"/>
        <v>0.23900230842599976</v>
      </c>
      <c r="R39" s="28">
        <f t="shared" si="2"/>
        <v>1.5033994155689736</v>
      </c>
      <c r="S39" s="101">
        <f t="shared" si="30"/>
      </c>
      <c r="T39" s="319">
        <f t="shared" si="3"/>
      </c>
      <c r="U39" s="28">
        <f>IF($T39="","",CalcGammaCY($O39,Q39))</f>
      </c>
      <c r="V39" s="323">
        <f t="shared" si="31"/>
      </c>
      <c r="W39" s="27">
        <f t="shared" si="4"/>
        <v>0.35931593080728363</v>
      </c>
      <c r="X39" s="28">
        <f t="shared" si="5"/>
        <v>0.3398314072932184</v>
      </c>
      <c r="Y39" s="28">
        <f t="shared" si="6"/>
        <v>1.0573358527078496</v>
      </c>
      <c r="Z39" s="102">
        <f t="shared" si="32"/>
      </c>
      <c r="AA39" s="93">
        <f t="shared" si="7"/>
      </c>
      <c r="AB39" s="28">
        <f>IF($AA39="","",CalcGammaCY($O39,X39))</f>
      </c>
      <c r="AC39" s="28">
        <f t="shared" si="33"/>
      </c>
      <c r="AD39" s="27">
        <f t="shared" si="8"/>
        <v>0.35931593080728363</v>
      </c>
      <c r="AE39" s="28">
        <f t="shared" si="9"/>
        <v>0.1912018467407998</v>
      </c>
      <c r="AF39" s="28">
        <f t="shared" si="10"/>
        <v>1.8792492694612173</v>
      </c>
      <c r="AG39" s="101">
        <f t="shared" si="34"/>
      </c>
      <c r="AH39" s="319">
        <f t="shared" si="11"/>
      </c>
      <c r="AI39" s="30">
        <f>IF($AH39="","",CalcGammaCY($O39,AE39))</f>
      </c>
      <c r="AJ39" s="328">
        <f t="shared" si="35"/>
      </c>
      <c r="AL39" s="296">
        <f t="shared" si="12"/>
        <v>1</v>
      </c>
      <c r="AM39" s="44">
        <f t="shared" si="13"/>
        <v>1</v>
      </c>
      <c r="AN39" s="50">
        <f t="shared" si="14"/>
        <v>0.5033994155689736</v>
      </c>
      <c r="AO39" s="51">
        <f t="shared" si="15"/>
        <v>0.5033994155689736</v>
      </c>
      <c r="AP39" s="51">
        <f t="shared" si="16"/>
        <v>0</v>
      </c>
      <c r="AQ39" s="50">
        <f t="shared" si="17"/>
        <v>0.05733585270784958</v>
      </c>
      <c r="AR39" s="51">
        <f t="shared" si="18"/>
        <v>0.05733585270784958</v>
      </c>
      <c r="AS39" s="51">
        <f t="shared" si="19"/>
        <v>0</v>
      </c>
      <c r="AT39" s="50">
        <f t="shared" si="20"/>
        <v>0.8792492694612173</v>
      </c>
      <c r="AU39" s="51">
        <f t="shared" si="21"/>
        <v>0.8792492694612173</v>
      </c>
      <c r="AV39" s="51">
        <f t="shared" si="22"/>
        <v>0</v>
      </c>
      <c r="AW39" s="52">
        <f t="shared" si="36"/>
        <v>1</v>
      </c>
      <c r="AX39" s="52">
        <f t="shared" si="37"/>
        <v>3</v>
      </c>
      <c r="AY39" s="44">
        <f t="shared" si="23"/>
      </c>
      <c r="AZ39" s="45">
        <f t="shared" si="24"/>
      </c>
      <c r="BA39" s="46">
        <f t="shared" si="38"/>
      </c>
    </row>
    <row r="40" spans="1:53" ht="13.5">
      <c r="A40" s="19">
        <f>IF('地盤状態入力'!L41="○",1,"")</f>
        <v>1</v>
      </c>
      <c r="B40" s="163">
        <f>'地盤状態入力'!B41</f>
        <v>13</v>
      </c>
      <c r="C40" s="164" t="str">
        <f>IF('地盤状態入力'!C41="","",'地盤状態入力'!C41)</f>
        <v>砂質土</v>
      </c>
      <c r="D40" s="165">
        <f>IF('地盤状態入力'!D41="","",'地盤状態入力'!D41)</f>
        <v>6</v>
      </c>
      <c r="E40" s="166">
        <f>IF('地盤状態入力'!E41="","",'地盤状態入力'!E41)</f>
        <v>22</v>
      </c>
      <c r="F40" s="166">
        <f>IF('地盤状態入力'!G41="","",'地盤状態入力'!G41)</f>
        <v>100</v>
      </c>
      <c r="G40" s="167">
        <f>IF('地盤状態入力'!H41="","",'地盤状態入力'!H41)</f>
      </c>
      <c r="H40" s="167">
        <f>IF('地盤状態入力'!I41="","",'地盤状態入力'!I41)</f>
      </c>
      <c r="I40" s="24">
        <f>IF(E40="","",I39+(B40-B39)*'地盤状態入力'!F41)</f>
        <v>217.27999999999997</v>
      </c>
      <c r="J40" s="24">
        <f t="shared" si="25"/>
        <v>119.27999999999997</v>
      </c>
      <c r="K40" s="24">
        <f t="shared" si="26"/>
        <v>99.67999999999996</v>
      </c>
      <c r="L40" s="25">
        <f t="shared" si="27"/>
        <v>0.8049999999999999</v>
      </c>
      <c r="M40" s="24">
        <f t="shared" si="28"/>
        <v>21.813818937297835</v>
      </c>
      <c r="N40" s="24">
        <f>IF(E40="","",MAX(MIN(MIN(0.1*'地盤状態入力'!D41+6,0.2*'地盤状態入力'!D41+4),1.2*'地盤状態入力'!D41-6),0))</f>
        <v>1.1999999999999993</v>
      </c>
      <c r="O40" s="26">
        <f t="shared" si="0"/>
        <v>23.013818937297835</v>
      </c>
      <c r="P40" s="27">
        <f t="shared" si="39"/>
        <v>0.34057057599361334</v>
      </c>
      <c r="Q40" s="28">
        <f t="shared" si="1"/>
        <v>0.23924744560490224</v>
      </c>
      <c r="R40" s="28">
        <f t="shared" si="2"/>
        <v>1.4235076789745043</v>
      </c>
      <c r="S40" s="101">
        <f t="shared" si="30"/>
      </c>
      <c r="T40" s="319">
        <f t="shared" si="3"/>
      </c>
      <c r="U40" s="28">
        <f>IF($T40="","",CalcGammaCY($O40,Q40))</f>
      </c>
      <c r="V40" s="323">
        <f t="shared" si="31"/>
      </c>
      <c r="W40" s="27">
        <f t="shared" si="4"/>
        <v>0.34057057599361334</v>
      </c>
      <c r="X40" s="28">
        <f t="shared" si="5"/>
        <v>0.3401799617194704</v>
      </c>
      <c r="Y40" s="28">
        <f t="shared" si="6"/>
        <v>1.0011482577403106</v>
      </c>
      <c r="Z40" s="102">
        <f t="shared" si="32"/>
      </c>
      <c r="AA40" s="93">
        <f t="shared" si="7"/>
      </c>
      <c r="AB40" s="28">
        <f>IF($AA40="","",CalcGammaCY($O40,X40))</f>
      </c>
      <c r="AC40" s="28">
        <f t="shared" si="33"/>
      </c>
      <c r="AD40" s="27">
        <f t="shared" si="8"/>
        <v>0.34057057599361334</v>
      </c>
      <c r="AE40" s="28">
        <f t="shared" si="9"/>
        <v>0.19139795648392177</v>
      </c>
      <c r="AF40" s="28">
        <f t="shared" si="10"/>
        <v>1.7793845987181305</v>
      </c>
      <c r="AG40" s="101">
        <f t="shared" si="34"/>
      </c>
      <c r="AH40" s="319">
        <f t="shared" si="11"/>
      </c>
      <c r="AI40" s="30">
        <f>IF($AH40="","",CalcGammaCY($O40,AE40))</f>
      </c>
      <c r="AJ40" s="328">
        <f t="shared" si="35"/>
      </c>
      <c r="AL40" s="296">
        <f t="shared" si="12"/>
        <v>1</v>
      </c>
      <c r="AM40" s="44">
        <f t="shared" si="13"/>
        <v>1</v>
      </c>
      <c r="AN40" s="50">
        <f t="shared" si="14"/>
        <v>0.42350767897450425</v>
      </c>
      <c r="AO40" s="51">
        <f t="shared" si="15"/>
        <v>0.42350767897450425</v>
      </c>
      <c r="AP40" s="51">
        <f t="shared" si="16"/>
        <v>0</v>
      </c>
      <c r="AQ40" s="50">
        <f t="shared" si="17"/>
        <v>0.0011482577403105765</v>
      </c>
      <c r="AR40" s="51">
        <f t="shared" si="18"/>
        <v>0.0011482577403105765</v>
      </c>
      <c r="AS40" s="51">
        <f t="shared" si="19"/>
        <v>0</v>
      </c>
      <c r="AT40" s="50">
        <f t="shared" si="20"/>
        <v>0.7793845987181305</v>
      </c>
      <c r="AU40" s="51">
        <f t="shared" si="21"/>
        <v>0.7793845987181305</v>
      </c>
      <c r="AV40" s="51">
        <f t="shared" si="22"/>
        <v>0</v>
      </c>
      <c r="AW40" s="52">
        <f t="shared" si="36"/>
        <v>1</v>
      </c>
      <c r="AX40" s="52">
        <f t="shared" si="37"/>
        <v>3</v>
      </c>
      <c r="AY40" s="44">
        <f t="shared" si="23"/>
      </c>
      <c r="AZ40" s="45">
        <f t="shared" si="24"/>
      </c>
      <c r="BA40" s="46">
        <f t="shared" si="38"/>
      </c>
    </row>
    <row r="41" spans="1:53" ht="13.5">
      <c r="A41" s="19">
        <f>IF('地盤状態入力'!L42="○",1,"")</f>
        <v>1</v>
      </c>
      <c r="B41" s="163">
        <f>'地盤状態入力'!B42</f>
        <v>13.5</v>
      </c>
      <c r="C41" s="164" t="str">
        <f>IF('地盤状態入力'!C42="","",'地盤状態入力'!C42)</f>
        <v>砂質土</v>
      </c>
      <c r="D41" s="165">
        <f>IF('地盤状態入力'!D42="","",'地盤状態入力'!D42)</f>
        <v>6</v>
      </c>
      <c r="E41" s="166">
        <f>IF('地盤状態入力'!E42="","",'地盤状態入力'!E42)</f>
        <v>22</v>
      </c>
      <c r="F41" s="166">
        <f>IF('地盤状態入力'!G42="","",'地盤状態入力'!G42)</f>
        <v>100</v>
      </c>
      <c r="G41" s="167">
        <f>IF('地盤状態入力'!H42="","",'地盤状態入力'!H42)</f>
      </c>
      <c r="H41" s="167">
        <f>IF('地盤状態入力'!I42="","",'地盤状態入力'!I42)</f>
      </c>
      <c r="I41" s="24">
        <f>IF(E41="","",I40+(B41-B40)*'地盤状態入力'!F42)</f>
        <v>225.50999999999996</v>
      </c>
      <c r="J41" s="24">
        <f t="shared" si="25"/>
        <v>122.60999999999996</v>
      </c>
      <c r="K41" s="24">
        <f t="shared" si="26"/>
        <v>103.00999999999995</v>
      </c>
      <c r="L41" s="25">
        <f t="shared" si="27"/>
        <v>0.7975</v>
      </c>
      <c r="M41" s="24">
        <f t="shared" si="28"/>
        <v>21.458335198706557</v>
      </c>
      <c r="N41" s="24">
        <f>IF(E41="","",MAX(MIN(MIN(0.1*'地盤状態入力'!D42+6,0.2*'地盤状態入力'!D42+4),1.2*'地盤状態入力'!D42-6),0))</f>
        <v>1.1999999999999993</v>
      </c>
      <c r="O41" s="26">
        <f t="shared" si="0"/>
        <v>22.658335198706556</v>
      </c>
      <c r="P41" s="27">
        <f t="shared" si="39"/>
        <v>0.324209167070059</v>
      </c>
      <c r="Q41" s="28">
        <f t="shared" si="1"/>
        <v>0.23931499491780506</v>
      </c>
      <c r="R41" s="28">
        <f t="shared" si="2"/>
        <v>1.3547382067781069</v>
      </c>
      <c r="S41" s="101">
        <f t="shared" si="30"/>
      </c>
      <c r="T41" s="319">
        <f t="shared" si="3"/>
      </c>
      <c r="U41" s="28">
        <f>IF($T41="","",CalcGammaCY($O41,Q41))</f>
      </c>
      <c r="V41" s="323">
        <f t="shared" si="31"/>
      </c>
      <c r="W41" s="27">
        <f t="shared" si="4"/>
        <v>0.324209167070059</v>
      </c>
      <c r="X41" s="28">
        <f t="shared" si="5"/>
        <v>0.3402760083987541</v>
      </c>
      <c r="Y41" s="28">
        <f t="shared" si="6"/>
        <v>0.9527829146571299</v>
      </c>
      <c r="Z41" s="102">
        <f t="shared" si="32"/>
        <v>0.07672776368216384</v>
      </c>
      <c r="AA41" s="93" t="str">
        <f t="shared" si="7"/>
        <v>×</v>
      </c>
      <c r="AB41" s="28">
        <f>IF($AA41="","",CalcGammaCY($O41,X41))</f>
        <v>0.5918687845158235</v>
      </c>
      <c r="AC41" s="28">
        <f t="shared" si="33"/>
        <v>0.29593439225791174</v>
      </c>
      <c r="AD41" s="27">
        <f t="shared" si="8"/>
        <v>0.324209167070059</v>
      </c>
      <c r="AE41" s="28">
        <f t="shared" si="9"/>
        <v>0.19145199593424403</v>
      </c>
      <c r="AF41" s="28">
        <f t="shared" si="10"/>
        <v>1.6934227584726338</v>
      </c>
      <c r="AG41" s="101">
        <f t="shared" si="34"/>
      </c>
      <c r="AH41" s="319">
        <f t="shared" si="11"/>
      </c>
      <c r="AI41" s="30">
        <f>IF($AH41="","",CalcGammaCY($O41,AE41))</f>
      </c>
      <c r="AJ41" s="328">
        <f t="shared" si="35"/>
      </c>
      <c r="AL41" s="296">
        <f t="shared" si="12"/>
        <v>1</v>
      </c>
      <c r="AM41" s="44">
        <f t="shared" si="13"/>
        <v>1</v>
      </c>
      <c r="AN41" s="50">
        <f t="shared" si="14"/>
        <v>0.35473820677810686</v>
      </c>
      <c r="AO41" s="51">
        <f t="shared" si="15"/>
        <v>0.35473820677810686</v>
      </c>
      <c r="AP41" s="51">
        <f t="shared" si="16"/>
        <v>0</v>
      </c>
      <c r="AQ41" s="50">
        <f t="shared" si="17"/>
        <v>-0.04721708534287006</v>
      </c>
      <c r="AR41" s="51">
        <f t="shared" si="18"/>
        <v>0</v>
      </c>
      <c r="AS41" s="51">
        <f t="shared" si="19"/>
        <v>-0.04721708534287006</v>
      </c>
      <c r="AT41" s="50">
        <f t="shared" si="20"/>
        <v>0.6934227584726338</v>
      </c>
      <c r="AU41" s="51">
        <f t="shared" si="21"/>
        <v>0.6934227584726338</v>
      </c>
      <c r="AV41" s="51">
        <f t="shared" si="22"/>
        <v>0</v>
      </c>
      <c r="AW41" s="52">
        <f t="shared" si="36"/>
        <v>1</v>
      </c>
      <c r="AX41" s="52">
        <f t="shared" si="37"/>
        <v>3</v>
      </c>
      <c r="AY41" s="44">
        <f t="shared" si="23"/>
      </c>
      <c r="AZ41" s="45">
        <f t="shared" si="24"/>
        <v>0.29593439225791174</v>
      </c>
      <c r="BA41" s="46">
        <f t="shared" si="38"/>
      </c>
    </row>
    <row r="42" spans="1:53" ht="13.5">
      <c r="A42" s="19">
        <f>IF('地盤状態入力'!L43="○",1,"")</f>
        <v>1</v>
      </c>
      <c r="B42" s="163">
        <f>'地盤状態入力'!B43</f>
        <v>14</v>
      </c>
      <c r="C42" s="164" t="str">
        <f>IF('地盤状態入力'!C43="","",'地盤状態入力'!C43)</f>
        <v>砂質土</v>
      </c>
      <c r="D42" s="165">
        <f>IF('地盤状態入力'!D43="","",'地盤状態入力'!D43)</f>
        <v>6</v>
      </c>
      <c r="E42" s="166">
        <f>IF('地盤状態入力'!E43="","",'地盤状態入力'!E43)</f>
        <v>22</v>
      </c>
      <c r="F42" s="166">
        <f>IF('地盤状態入力'!G43="","",'地盤状態入力'!G43)</f>
        <v>100</v>
      </c>
      <c r="G42" s="167">
        <f>IF('地盤状態入力'!H43="","",'地盤状態入力'!H43)</f>
      </c>
      <c r="H42" s="167">
        <f>IF('地盤状態入力'!I43="","",'地盤状態入力'!I43)</f>
      </c>
      <c r="I42" s="24">
        <f>IF(E42="","",I41+(B42-B41)*'地盤状態入力'!F43)</f>
        <v>233.73999999999995</v>
      </c>
      <c r="J42" s="24">
        <f t="shared" si="25"/>
        <v>125.93999999999994</v>
      </c>
      <c r="K42" s="24">
        <f t="shared" si="26"/>
        <v>106.33999999999995</v>
      </c>
      <c r="L42" s="25">
        <f t="shared" si="27"/>
        <v>0.79</v>
      </c>
      <c r="M42" s="24">
        <f t="shared" si="28"/>
        <v>21.11968277612683</v>
      </c>
      <c r="N42" s="24">
        <f>IF(E42="","",MAX(MIN(MIN(0.1*'地盤状態入力'!D43+6,0.2*'地盤状態入力'!D43+4),1.2*'地盤状態入力'!D43-6),0))</f>
        <v>1.1999999999999993</v>
      </c>
      <c r="O42" s="26">
        <f t="shared" si="0"/>
        <v>22.31968277612683</v>
      </c>
      <c r="P42" s="27">
        <f t="shared" si="39"/>
        <v>0.30985225775061587</v>
      </c>
      <c r="Q42" s="28">
        <f t="shared" si="1"/>
        <v>0.2392190432535547</v>
      </c>
      <c r="R42" s="28">
        <f t="shared" si="2"/>
        <v>1.2952658514823803</v>
      </c>
      <c r="S42" s="101">
        <f t="shared" si="30"/>
      </c>
      <c r="T42" s="319">
        <f t="shared" si="3"/>
      </c>
      <c r="U42" s="28">
        <f>IF($T42="","",CalcGammaCY($O42,Q42))</f>
      </c>
      <c r="V42" s="323">
        <f t="shared" si="31"/>
      </c>
      <c r="W42" s="27">
        <f t="shared" si="4"/>
        <v>0.30985225775061587</v>
      </c>
      <c r="X42" s="28">
        <f t="shared" si="5"/>
        <v>0.3401395771261481</v>
      </c>
      <c r="Y42" s="28">
        <f t="shared" si="6"/>
        <v>0.9109562032403552</v>
      </c>
      <c r="Z42" s="102">
        <f t="shared" si="32"/>
        <v>0.1335656951394672</v>
      </c>
      <c r="AA42" s="93" t="str">
        <f t="shared" si="7"/>
        <v>×</v>
      </c>
      <c r="AB42" s="28">
        <f>IF($AA42="","",CalcGammaCY($O42,X42))</f>
        <v>0.6352994762221466</v>
      </c>
      <c r="AC42" s="28">
        <f t="shared" si="33"/>
        <v>0.3176497381110733</v>
      </c>
      <c r="AD42" s="27">
        <f t="shared" si="8"/>
        <v>0.30985225775061587</v>
      </c>
      <c r="AE42" s="28">
        <f t="shared" si="9"/>
        <v>0.1913752346028437</v>
      </c>
      <c r="AF42" s="28">
        <f t="shared" si="10"/>
        <v>1.6190823143529758</v>
      </c>
      <c r="AG42" s="101">
        <f t="shared" si="34"/>
      </c>
      <c r="AH42" s="319">
        <f t="shared" si="11"/>
      </c>
      <c r="AI42" s="30">
        <f>IF($AH42="","",CalcGammaCY($O42,AE42))</f>
      </c>
      <c r="AJ42" s="328">
        <f t="shared" si="35"/>
      </c>
      <c r="AL42" s="296">
        <f t="shared" si="12"/>
        <v>1</v>
      </c>
      <c r="AM42" s="44">
        <f t="shared" si="13"/>
        <v>1</v>
      </c>
      <c r="AN42" s="50">
        <f t="shared" si="14"/>
        <v>0.29526585148238027</v>
      </c>
      <c r="AO42" s="51">
        <f t="shared" si="15"/>
        <v>0.29526585148238027</v>
      </c>
      <c r="AP42" s="51">
        <f t="shared" si="16"/>
        <v>0</v>
      </c>
      <c r="AQ42" s="50">
        <f t="shared" si="17"/>
        <v>-0.0890437967596448</v>
      </c>
      <c r="AR42" s="51">
        <f t="shared" si="18"/>
        <v>0</v>
      </c>
      <c r="AS42" s="51">
        <f t="shared" si="19"/>
        <v>-0.0890437967596448</v>
      </c>
      <c r="AT42" s="50">
        <f t="shared" si="20"/>
        <v>0.6190823143529758</v>
      </c>
      <c r="AU42" s="51">
        <f t="shared" si="21"/>
        <v>0.6190823143529758</v>
      </c>
      <c r="AV42" s="51">
        <f t="shared" si="22"/>
        <v>0</v>
      </c>
      <c r="AW42" s="52">
        <f t="shared" si="36"/>
        <v>1</v>
      </c>
      <c r="AX42" s="52">
        <f t="shared" si="37"/>
        <v>3</v>
      </c>
      <c r="AY42" s="44">
        <f t="shared" si="23"/>
      </c>
      <c r="AZ42" s="45">
        <f t="shared" si="24"/>
        <v>0.3176497381110733</v>
      </c>
      <c r="BA42" s="46">
        <f t="shared" si="38"/>
      </c>
    </row>
    <row r="43" spans="1:53" ht="13.5">
      <c r="A43" s="19">
        <f>IF('地盤状態入力'!L44="○",1,"")</f>
        <v>1</v>
      </c>
      <c r="B43" s="163">
        <f>'地盤状態入力'!B44</f>
        <v>14.5</v>
      </c>
      <c r="C43" s="164" t="str">
        <f>IF('地盤状態入力'!C44="","",'地盤状態入力'!C44)</f>
        <v>砂質土</v>
      </c>
      <c r="D43" s="165">
        <f>IF('地盤状態入力'!D44="","",'地盤状態入力'!D44)</f>
        <v>6</v>
      </c>
      <c r="E43" s="166">
        <f>IF('地盤状態入力'!E44="","",'地盤状態入力'!E44)</f>
        <v>43</v>
      </c>
      <c r="F43" s="166">
        <f>IF('地盤状態入力'!G44="","",'地盤状態入力'!G44)</f>
        <v>100</v>
      </c>
      <c r="G43" s="167">
        <f>IF('地盤状態入力'!H44="","",'地盤状態入力'!H44)</f>
      </c>
      <c r="H43" s="167">
        <f>IF('地盤状態入力'!I44="","",'地盤状態入力'!I44)</f>
      </c>
      <c r="I43" s="24">
        <f>IF(E43="","",I42+(B43-B42)*'地盤状態入力'!F44)</f>
        <v>242.16999999999996</v>
      </c>
      <c r="J43" s="24">
        <f t="shared" si="25"/>
        <v>129.46999999999997</v>
      </c>
      <c r="K43" s="24">
        <f t="shared" si="26"/>
        <v>109.86999999999995</v>
      </c>
      <c r="L43" s="25">
        <f t="shared" si="27"/>
        <v>0.7825</v>
      </c>
      <c r="M43" s="24">
        <f t="shared" si="28"/>
        <v>40.61083612685166</v>
      </c>
      <c r="N43" s="24">
        <f>IF(E43="","",MAX(MIN(MIN(0.1*'地盤状態入力'!D44+6,0.2*'地盤状態入力'!D44+4),1.2*'地盤状態入力'!D44-6),0))</f>
        <v>1.1999999999999993</v>
      </c>
      <c r="O43" s="26">
        <f t="shared" si="0"/>
        <v>41.810836126851655</v>
      </c>
      <c r="P43" s="27">
        <f t="shared" si="39"/>
        <v>9.652423122425128</v>
      </c>
      <c r="Q43" s="28">
        <f t="shared" si="1"/>
        <v>0.23880028846194087</v>
      </c>
      <c r="R43" s="28">
        <f t="shared" si="2"/>
        <v>40.42048351195144</v>
      </c>
      <c r="S43" s="101">
        <f t="shared" si="30"/>
      </c>
      <c r="T43" s="318">
        <f t="shared" si="3"/>
      </c>
      <c r="U43" s="28">
        <f>IF($T43="","",CalcGammaCY($O43,Q43))</f>
      </c>
      <c r="V43" s="323">
        <f t="shared" si="31"/>
      </c>
      <c r="W43" s="27">
        <f t="shared" si="4"/>
        <v>9.652423122425128</v>
      </c>
      <c r="X43" s="28">
        <f t="shared" si="5"/>
        <v>0.3395441601568222</v>
      </c>
      <c r="Y43" s="28">
        <f t="shared" si="6"/>
        <v>28.427592799614196</v>
      </c>
      <c r="Z43" s="102">
        <f t="shared" si="32"/>
      </c>
      <c r="AA43" s="92">
        <f t="shared" si="7"/>
      </c>
      <c r="AB43" s="28">
        <f>IF($AA43="","",CalcGammaCY($O43,X43))</f>
      </c>
      <c r="AC43" s="28">
        <f t="shared" si="33"/>
      </c>
      <c r="AD43" s="27">
        <f t="shared" si="8"/>
        <v>9.652423122425128</v>
      </c>
      <c r="AE43" s="28">
        <f t="shared" si="9"/>
        <v>0.19104023076955268</v>
      </c>
      <c r="AF43" s="28">
        <f t="shared" si="10"/>
        <v>50.5256043899393</v>
      </c>
      <c r="AG43" s="101">
        <f t="shared" si="34"/>
      </c>
      <c r="AH43" s="318">
        <f t="shared" si="11"/>
      </c>
      <c r="AI43" s="30">
        <f>IF($AH43="","",CalcGammaCY($O43,AE43))</f>
      </c>
      <c r="AJ43" s="328">
        <f t="shared" si="35"/>
      </c>
      <c r="AL43" s="296">
        <f t="shared" si="12"/>
        <v>1</v>
      </c>
      <c r="AM43" s="44">
        <f t="shared" si="13"/>
        <v>1</v>
      </c>
      <c r="AN43" s="50">
        <f t="shared" si="14"/>
        <v>39.42048351195144</v>
      </c>
      <c r="AO43" s="51">
        <f t="shared" si="15"/>
        <v>39.42048351195144</v>
      </c>
      <c r="AP43" s="51">
        <f t="shared" si="16"/>
        <v>0</v>
      </c>
      <c r="AQ43" s="50">
        <f t="shared" si="17"/>
        <v>27.427592799614196</v>
      </c>
      <c r="AR43" s="51">
        <f t="shared" si="18"/>
        <v>27.427592799614196</v>
      </c>
      <c r="AS43" s="51">
        <f t="shared" si="19"/>
        <v>0</v>
      </c>
      <c r="AT43" s="50">
        <f t="shared" si="20"/>
        <v>49.5256043899393</v>
      </c>
      <c r="AU43" s="51">
        <f t="shared" si="21"/>
        <v>49.5256043899393</v>
      </c>
      <c r="AV43" s="51">
        <f t="shared" si="22"/>
        <v>0</v>
      </c>
      <c r="AW43" s="52">
        <f t="shared" si="36"/>
        <v>1</v>
      </c>
      <c r="AX43" s="52">
        <f t="shared" si="37"/>
        <v>3</v>
      </c>
      <c r="AY43" s="44">
        <f t="shared" si="23"/>
      </c>
      <c r="AZ43" s="45">
        <f t="shared" si="24"/>
      </c>
      <c r="BA43" s="46">
        <f t="shared" si="38"/>
      </c>
    </row>
    <row r="44" spans="1:53" ht="13.5">
      <c r="A44" s="19">
        <f>IF('地盤状態入力'!L45="○",1,"")</f>
        <v>1</v>
      </c>
      <c r="B44" s="279">
        <f>'地盤状態入力'!B45</f>
        <v>15</v>
      </c>
      <c r="C44" s="280" t="str">
        <f>IF('地盤状態入力'!C45="","",'地盤状態入力'!C45)</f>
        <v>砂質土</v>
      </c>
      <c r="D44" s="281">
        <f>IF('地盤状態入力'!D45="","",'地盤状態入力'!D45)</f>
        <v>6</v>
      </c>
      <c r="E44" s="282">
        <f>IF('地盤状態入力'!E45="","",'地盤状態入力'!E45)</f>
        <v>43</v>
      </c>
      <c r="F44" s="282">
        <f>IF('地盤状態入力'!G45="","",'地盤状態入力'!G45)</f>
        <v>100</v>
      </c>
      <c r="G44" s="283">
        <f>IF('地盤状態入力'!H45="","",'地盤状態入力'!H45)</f>
      </c>
      <c r="H44" s="283">
        <f>IF('地盤状態入力'!I45="","",'地盤状態入力'!I45)</f>
      </c>
      <c r="I44" s="284">
        <f>IF(E44="","",I43+(B44-B43)*'地盤状態入力'!F45)</f>
        <v>250.59999999999997</v>
      </c>
      <c r="J44" s="284">
        <f t="shared" si="25"/>
        <v>132.99999999999994</v>
      </c>
      <c r="K44" s="284">
        <f t="shared" si="26"/>
        <v>113.39999999999995</v>
      </c>
      <c r="L44" s="285">
        <f t="shared" si="27"/>
        <v>0.775</v>
      </c>
      <c r="M44" s="284">
        <f t="shared" si="28"/>
        <v>39.97375682329473</v>
      </c>
      <c r="N44" s="284">
        <f>IF(E44="","",MAX(MIN(MIN(0.1*'地盤状態入力'!D45+6,0.2*'地盤状態入力'!D45+4),1.2*'地盤状態入力'!D45-6),0))</f>
        <v>1.1999999999999993</v>
      </c>
      <c r="O44" s="286">
        <f t="shared" si="0"/>
        <v>41.173756823294724</v>
      </c>
      <c r="P44" s="258">
        <f t="shared" si="39"/>
        <v>8.693790818761357</v>
      </c>
      <c r="Q44" s="260">
        <f t="shared" si="1"/>
        <v>0.23824864277113794</v>
      </c>
      <c r="R44" s="260">
        <f t="shared" si="2"/>
        <v>36.49041068037742</v>
      </c>
      <c r="S44" s="455">
        <f t="shared" si="30"/>
      </c>
      <c r="T44" s="320">
        <f t="shared" si="3"/>
      </c>
      <c r="U44" s="260">
        <f>IF($T44="","",CalcGammaCY($O44,Q44))</f>
      </c>
      <c r="V44" s="324">
        <f t="shared" si="31"/>
      </c>
      <c r="W44" s="258">
        <f t="shared" si="4"/>
        <v>8.693790818761357</v>
      </c>
      <c r="X44" s="260">
        <f t="shared" si="5"/>
        <v>0.33875978894021175</v>
      </c>
      <c r="Y44" s="260">
        <f t="shared" si="6"/>
        <v>25.663585533452256</v>
      </c>
      <c r="Z44" s="455">
        <f t="shared" si="32"/>
      </c>
      <c r="AA44" s="261">
        <f t="shared" si="7"/>
      </c>
      <c r="AB44" s="260">
        <f>IF($AA44="","",CalcGammaCY($O44,X44))</f>
      </c>
      <c r="AC44" s="260">
        <f t="shared" si="33"/>
      </c>
      <c r="AD44" s="258">
        <f t="shared" si="8"/>
        <v>8.693790818761357</v>
      </c>
      <c r="AE44" s="260">
        <f t="shared" si="9"/>
        <v>0.19059891421691033</v>
      </c>
      <c r="AF44" s="260">
        <f t="shared" si="10"/>
        <v>45.61301335047178</v>
      </c>
      <c r="AG44" s="455">
        <f t="shared" si="34"/>
      </c>
      <c r="AH44" s="320">
        <f t="shared" si="11"/>
      </c>
      <c r="AI44" s="287">
        <f>IF($AH44="","",CalcGammaCY($O44,AE44))</f>
      </c>
      <c r="AJ44" s="329">
        <f t="shared" si="35"/>
      </c>
      <c r="AL44" s="297">
        <f t="shared" si="12"/>
        <v>1</v>
      </c>
      <c r="AM44" s="289">
        <f t="shared" si="13"/>
        <v>1</v>
      </c>
      <c r="AN44" s="290">
        <f t="shared" si="14"/>
        <v>35.49041068037742</v>
      </c>
      <c r="AO44" s="291">
        <f t="shared" si="15"/>
        <v>35.49041068037742</v>
      </c>
      <c r="AP44" s="291">
        <f t="shared" si="16"/>
        <v>0</v>
      </c>
      <c r="AQ44" s="290">
        <f t="shared" si="17"/>
        <v>24.663585533452256</v>
      </c>
      <c r="AR44" s="291">
        <f t="shared" si="18"/>
        <v>24.663585533452256</v>
      </c>
      <c r="AS44" s="291">
        <f t="shared" si="19"/>
        <v>0</v>
      </c>
      <c r="AT44" s="290">
        <f t="shared" si="20"/>
        <v>44.61301335047178</v>
      </c>
      <c r="AU44" s="291">
        <f t="shared" si="21"/>
        <v>44.61301335047178</v>
      </c>
      <c r="AV44" s="291">
        <f t="shared" si="22"/>
        <v>0</v>
      </c>
      <c r="AW44" s="292">
        <f t="shared" si="36"/>
        <v>1</v>
      </c>
      <c r="AX44" s="292">
        <f t="shared" si="37"/>
        <v>3</v>
      </c>
      <c r="AY44" s="289">
        <f t="shared" si="23"/>
      </c>
      <c r="AZ44" s="293">
        <f t="shared" si="24"/>
      </c>
      <c r="BA44" s="46">
        <f t="shared" si="38"/>
      </c>
    </row>
    <row r="45" spans="1:53" ht="13.5">
      <c r="A45" s="19">
        <f>IF('地盤状態入力'!L46="○",1,"")</f>
        <v>1</v>
      </c>
      <c r="B45" s="163">
        <f>'地盤状態入力'!B46</f>
        <v>15.5</v>
      </c>
      <c r="C45" s="164" t="str">
        <f>IF('地盤状態入力'!C46="","",'地盤状態入力'!C46)</f>
        <v>砂質土</v>
      </c>
      <c r="D45" s="165">
        <f>IF('地盤状態入力'!D46="","",'地盤状態入力'!D46)</f>
        <v>6</v>
      </c>
      <c r="E45" s="166">
        <f>IF('地盤状態入力'!E46="","",'地盤状態入力'!E46)</f>
        <v>43</v>
      </c>
      <c r="F45" s="166">
        <f>IF('地盤状態入力'!G46="","",'地盤状態入力'!G46)</f>
        <v>100</v>
      </c>
      <c r="G45" s="167">
        <f>IF('地盤状態入力'!H46="","",'地盤状態入力'!H46)</f>
      </c>
      <c r="H45" s="167">
        <f>IF('地盤状態入力'!I46="","",'地盤状態入力'!I46)</f>
      </c>
      <c r="I45" s="24">
        <f>IF(E45="","",I44+(B45-B44)*'地盤状態入力'!F46)</f>
        <v>259.03</v>
      </c>
      <c r="J45" s="24">
        <f t="shared" si="25"/>
        <v>136.52999999999997</v>
      </c>
      <c r="K45" s="24">
        <f t="shared" si="26"/>
        <v>116.92999999999995</v>
      </c>
      <c r="L45" s="25">
        <f t="shared" si="27"/>
        <v>0.7675000000000001</v>
      </c>
      <c r="M45" s="24">
        <f t="shared" si="28"/>
        <v>39.36574895838358</v>
      </c>
      <c r="N45" s="24">
        <f>IF(E45="","",MAX(MIN(MIN(0.1*'地盤状態入力'!D46+6,0.2*'地盤状態入力'!D46+4),1.2*'地盤状態入力'!D46-6),0))</f>
        <v>1.1999999999999993</v>
      </c>
      <c r="O45" s="26">
        <f t="shared" si="0"/>
        <v>40.56574895838358</v>
      </c>
      <c r="P45" s="27">
        <f t="shared" si="39"/>
        <v>7.858068296611235</v>
      </c>
      <c r="Q45" s="28">
        <f t="shared" si="1"/>
        <v>0.23757441391294387</v>
      </c>
      <c r="R45" s="28">
        <f t="shared" si="2"/>
        <v>33.07623984917301</v>
      </c>
      <c r="S45" s="101">
        <f t="shared" si="30"/>
      </c>
      <c r="T45" s="318">
        <f t="shared" si="3"/>
      </c>
      <c r="U45" s="28">
        <f>IF($T45="","",CalcGammaCY($O45,Q45))</f>
      </c>
      <c r="V45" s="323">
        <f t="shared" si="31"/>
      </c>
      <c r="W45" s="27">
        <f t="shared" si="4"/>
        <v>7.858068296611235</v>
      </c>
      <c r="X45" s="28">
        <f t="shared" si="5"/>
        <v>0.3378011197824671</v>
      </c>
      <c r="Y45" s="28">
        <f t="shared" si="6"/>
        <v>23.26241044337442</v>
      </c>
      <c r="Z45" s="102">
        <f t="shared" si="32"/>
      </c>
      <c r="AA45" s="92">
        <f t="shared" si="7"/>
      </c>
      <c r="AB45" s="28">
        <f>IF($AA45="","",CalcGammaCY($O45,X45))</f>
      </c>
      <c r="AC45" s="28">
        <f t="shared" si="33"/>
      </c>
      <c r="AD45" s="27">
        <f t="shared" si="8"/>
        <v>7.858068296611235</v>
      </c>
      <c r="AE45" s="28">
        <f t="shared" si="9"/>
        <v>0.19005953113035506</v>
      </c>
      <c r="AF45" s="28">
        <f t="shared" si="10"/>
        <v>41.34529981146626</v>
      </c>
      <c r="AG45" s="101">
        <f t="shared" si="34"/>
      </c>
      <c r="AH45" s="318">
        <f t="shared" si="11"/>
      </c>
      <c r="AI45" s="30">
        <f>IF($AH45="","",CalcGammaCY($O45,AE45))</f>
      </c>
      <c r="AJ45" s="328">
        <f t="shared" si="35"/>
      </c>
      <c r="AL45" s="296">
        <f t="shared" si="12"/>
        <v>1</v>
      </c>
      <c r="AM45" s="44">
        <f t="shared" si="13"/>
        <v>1</v>
      </c>
      <c r="AN45" s="50">
        <f t="shared" si="14"/>
        <v>32.07623984917301</v>
      </c>
      <c r="AO45" s="51">
        <f t="shared" si="15"/>
        <v>32.07623984917301</v>
      </c>
      <c r="AP45" s="51">
        <f t="shared" si="16"/>
        <v>0</v>
      </c>
      <c r="AQ45" s="50">
        <f t="shared" si="17"/>
        <v>22.26241044337442</v>
      </c>
      <c r="AR45" s="51">
        <f t="shared" si="18"/>
        <v>22.26241044337442</v>
      </c>
      <c r="AS45" s="51">
        <f t="shared" si="19"/>
        <v>0</v>
      </c>
      <c r="AT45" s="50">
        <f t="shared" si="20"/>
        <v>40.34529981146626</v>
      </c>
      <c r="AU45" s="51">
        <f t="shared" si="21"/>
        <v>40.34529981146626</v>
      </c>
      <c r="AV45" s="51">
        <f t="shared" si="22"/>
        <v>0</v>
      </c>
      <c r="AW45" s="52">
        <f t="shared" si="36"/>
        <v>1</v>
      </c>
      <c r="AX45" s="52">
        <f t="shared" si="37"/>
        <v>3</v>
      </c>
      <c r="AY45" s="44">
        <f t="shared" si="23"/>
      </c>
      <c r="AZ45" s="45">
        <f t="shared" si="24"/>
      </c>
      <c r="BA45" s="46">
        <f t="shared" si="38"/>
      </c>
    </row>
    <row r="46" spans="1:53" ht="13.5">
      <c r="A46" s="19">
        <f>IF('地盤状態入力'!L47="○",1,"")</f>
        <v>1</v>
      </c>
      <c r="B46" s="163">
        <f>'地盤状態入力'!B47</f>
        <v>16</v>
      </c>
      <c r="C46" s="164" t="str">
        <f>IF('地盤状態入力'!C47="","",'地盤状態入力'!C47)</f>
        <v>砂質土</v>
      </c>
      <c r="D46" s="165">
        <f>IF('地盤状態入力'!D47="","",'地盤状態入力'!D47)</f>
        <v>6</v>
      </c>
      <c r="E46" s="166">
        <f>IF('地盤状態入力'!E47="","",'地盤状態入力'!E47)</f>
        <v>43</v>
      </c>
      <c r="F46" s="166">
        <f>IF('地盤状態入力'!G47="","",'地盤状態入力'!G47)</f>
        <v>100</v>
      </c>
      <c r="G46" s="167">
        <f>IF('地盤状態入力'!H47="","",'地盤状態入力'!H47)</f>
      </c>
      <c r="H46" s="167">
        <f>IF('地盤状態入力'!I47="","",'地盤状態入力'!I47)</f>
      </c>
      <c r="I46" s="24">
        <f>IF(E46="","",I45+(B46-B45)*'地盤状態入力'!F47)</f>
        <v>267.46</v>
      </c>
      <c r="J46" s="24">
        <f t="shared" si="25"/>
        <v>140.05999999999997</v>
      </c>
      <c r="K46" s="24">
        <f t="shared" si="26"/>
        <v>120.45999999999998</v>
      </c>
      <c r="L46" s="25">
        <f t="shared" si="27"/>
        <v>0.76</v>
      </c>
      <c r="M46" s="24">
        <f t="shared" si="28"/>
        <v>38.78466673271784</v>
      </c>
      <c r="N46" s="24">
        <f>IF(E46="","",MAX(MIN(MIN(0.1*'地盤状態入力'!D47+6,0.2*'地盤状態入力'!D47+4),1.2*'地盤状態入力'!D47-6),0))</f>
        <v>1.1999999999999993</v>
      </c>
      <c r="O46" s="26">
        <f t="shared" si="0"/>
        <v>39.98466673271784</v>
      </c>
      <c r="P46" s="27">
        <f t="shared" si="39"/>
        <v>7.126425014830473</v>
      </c>
      <c r="Q46" s="28">
        <f t="shared" si="1"/>
        <v>0.236786870456134</v>
      </c>
      <c r="R46" s="28">
        <f t="shared" si="2"/>
        <v>30.09636894605894</v>
      </c>
      <c r="S46" s="101">
        <f t="shared" si="30"/>
      </c>
      <c r="T46" s="318">
        <f t="shared" si="3"/>
      </c>
      <c r="U46" s="28">
        <f>IF($T46="","",CalcGammaCY($O46,Q46))</f>
      </c>
      <c r="V46" s="323">
        <f t="shared" si="31"/>
      </c>
      <c r="W46" s="27">
        <f t="shared" si="4"/>
        <v>7.126425014830473</v>
      </c>
      <c r="X46" s="28">
        <f t="shared" si="5"/>
        <v>0.3366813314298156</v>
      </c>
      <c r="Y46" s="28">
        <f t="shared" si="6"/>
        <v>21.166677060964528</v>
      </c>
      <c r="Z46" s="102">
        <f t="shared" si="32"/>
      </c>
      <c r="AA46" s="92">
        <f t="shared" si="7"/>
      </c>
      <c r="AB46" s="28">
        <f>IF($AA46="","",CalcGammaCY($O46,X46))</f>
      </c>
      <c r="AC46" s="28">
        <f t="shared" si="33"/>
      </c>
      <c r="AD46" s="27">
        <f t="shared" si="8"/>
        <v>7.126425014830473</v>
      </c>
      <c r="AE46" s="28">
        <f t="shared" si="9"/>
        <v>0.1894294963649072</v>
      </c>
      <c r="AF46" s="28">
        <f t="shared" si="10"/>
        <v>37.62046118257368</v>
      </c>
      <c r="AG46" s="101">
        <f t="shared" si="34"/>
      </c>
      <c r="AH46" s="318">
        <f t="shared" si="11"/>
      </c>
      <c r="AI46" s="30">
        <f>IF($AH46="","",CalcGammaCY($O46,AE46))</f>
      </c>
      <c r="AJ46" s="328">
        <f t="shared" si="35"/>
      </c>
      <c r="AL46" s="296">
        <f t="shared" si="12"/>
        <v>1</v>
      </c>
      <c r="AM46" s="44">
        <f t="shared" si="13"/>
        <v>1</v>
      </c>
      <c r="AN46" s="50">
        <f t="shared" si="14"/>
        <v>29.09636894605894</v>
      </c>
      <c r="AO46" s="51">
        <f t="shared" si="15"/>
        <v>29.09636894605894</v>
      </c>
      <c r="AP46" s="51">
        <f t="shared" si="16"/>
        <v>0</v>
      </c>
      <c r="AQ46" s="50">
        <f t="shared" si="17"/>
        <v>20.166677060964528</v>
      </c>
      <c r="AR46" s="51">
        <f t="shared" si="18"/>
        <v>20.166677060964528</v>
      </c>
      <c r="AS46" s="51">
        <f t="shared" si="19"/>
        <v>0</v>
      </c>
      <c r="AT46" s="50">
        <f t="shared" si="20"/>
        <v>36.62046118257368</v>
      </c>
      <c r="AU46" s="51">
        <f t="shared" si="21"/>
        <v>36.62046118257368</v>
      </c>
      <c r="AV46" s="51">
        <f t="shared" si="22"/>
        <v>0</v>
      </c>
      <c r="AW46" s="52">
        <f t="shared" si="36"/>
        <v>1</v>
      </c>
      <c r="AX46" s="52">
        <f t="shared" si="37"/>
        <v>3</v>
      </c>
      <c r="AY46" s="44">
        <f t="shared" si="23"/>
      </c>
      <c r="AZ46" s="45">
        <f t="shared" si="24"/>
      </c>
      <c r="BA46" s="46">
        <f t="shared" si="38"/>
      </c>
    </row>
    <row r="47" spans="1:53" ht="13.5">
      <c r="A47" s="19">
        <f>IF('地盤状態入力'!L48="○",1,"")</f>
        <v>1</v>
      </c>
      <c r="B47" s="163">
        <f>'地盤状態入力'!B48</f>
        <v>16.5</v>
      </c>
      <c r="C47" s="164" t="str">
        <f>IF('地盤状態入力'!C48="","",'地盤状態入力'!C48)</f>
        <v>砂質土</v>
      </c>
      <c r="D47" s="165">
        <f>IF('地盤状態入力'!D48="","",'地盤状態入力'!D48)</f>
        <v>6</v>
      </c>
      <c r="E47" s="166">
        <f>IF('地盤状態入力'!E48="","",'地盤状態入力'!E48)</f>
        <v>43</v>
      </c>
      <c r="F47" s="166">
        <f>IF('地盤状態入力'!G48="","",'地盤状態入力'!G48)</f>
        <v>100</v>
      </c>
      <c r="G47" s="167">
        <f>IF('地盤状態入力'!H48="","",'地盤状態入力'!H48)</f>
      </c>
      <c r="H47" s="167">
        <f>IF('地盤状態入力'!I48="","",'地盤状態入力'!I48)</f>
      </c>
      <c r="I47" s="24">
        <f>IF(E47="","",I46+(B47-B46)*'地盤状態入力'!F48)</f>
        <v>275.89</v>
      </c>
      <c r="J47" s="24">
        <f t="shared" si="25"/>
        <v>143.58999999999997</v>
      </c>
      <c r="K47" s="24">
        <f t="shared" si="26"/>
        <v>123.98999999999998</v>
      </c>
      <c r="L47" s="25">
        <f t="shared" si="27"/>
        <v>0.7525</v>
      </c>
      <c r="M47" s="24">
        <f t="shared" si="28"/>
        <v>38.22857973312596</v>
      </c>
      <c r="N47" s="24">
        <f>IF(E47="","",MAX(MIN(MIN(0.1*'地盤状態入力'!D48+6,0.2*'地盤状態入力'!D48+4),1.2*'地盤状態入力'!D48-6),0))</f>
        <v>1.1999999999999993</v>
      </c>
      <c r="O47" s="26">
        <f t="shared" si="0"/>
        <v>39.42857973312596</v>
      </c>
      <c r="P47" s="27">
        <f t="shared" si="39"/>
        <v>6.483356879571796</v>
      </c>
      <c r="Q47" s="28">
        <f t="shared" si="1"/>
        <v>0.23589436953978044</v>
      </c>
      <c r="R47" s="28">
        <f t="shared" si="2"/>
        <v>27.484152725732883</v>
      </c>
      <c r="S47" s="101">
        <f t="shared" si="30"/>
      </c>
      <c r="T47" s="318">
        <f t="shared" si="3"/>
      </c>
      <c r="U47" s="28">
        <f>IF($T47="","",CalcGammaCY($O47,Q47))</f>
      </c>
      <c r="V47" s="323">
        <f t="shared" si="31"/>
      </c>
      <c r="W47" s="27">
        <f t="shared" si="4"/>
        <v>6.483356879571796</v>
      </c>
      <c r="X47" s="28">
        <f t="shared" si="5"/>
        <v>0.33541230668937533</v>
      </c>
      <c r="Y47" s="28">
        <f t="shared" si="6"/>
        <v>19.329514004911037</v>
      </c>
      <c r="Z47" s="102">
        <f t="shared" si="32"/>
      </c>
      <c r="AA47" s="92">
        <f t="shared" si="7"/>
      </c>
      <c r="AB47" s="28">
        <f>IF($AA47="","",CalcGammaCY($O47,X47))</f>
      </c>
      <c r="AC47" s="28">
        <f t="shared" si="33"/>
      </c>
      <c r="AD47" s="27">
        <f t="shared" si="8"/>
        <v>6.483356879571796</v>
      </c>
      <c r="AE47" s="28">
        <f t="shared" si="9"/>
        <v>0.18871549563182433</v>
      </c>
      <c r="AF47" s="28">
        <f t="shared" si="10"/>
        <v>34.355190907166104</v>
      </c>
      <c r="AG47" s="101">
        <f t="shared" si="34"/>
      </c>
      <c r="AH47" s="318">
        <f t="shared" si="11"/>
      </c>
      <c r="AI47" s="30">
        <f>IF($AH47="","",CalcGammaCY($O47,AE47))</f>
      </c>
      <c r="AJ47" s="328">
        <f t="shared" si="35"/>
      </c>
      <c r="AL47" s="296">
        <f t="shared" si="12"/>
        <v>1</v>
      </c>
      <c r="AM47" s="44">
        <f t="shared" si="13"/>
        <v>1</v>
      </c>
      <c r="AN47" s="50">
        <f t="shared" si="14"/>
        <v>26.484152725732883</v>
      </c>
      <c r="AO47" s="51">
        <f t="shared" si="15"/>
        <v>26.484152725732883</v>
      </c>
      <c r="AP47" s="51">
        <f t="shared" si="16"/>
        <v>0</v>
      </c>
      <c r="AQ47" s="50">
        <f t="shared" si="17"/>
        <v>18.329514004911037</v>
      </c>
      <c r="AR47" s="51">
        <f t="shared" si="18"/>
        <v>18.329514004911037</v>
      </c>
      <c r="AS47" s="51">
        <f t="shared" si="19"/>
        <v>0</v>
      </c>
      <c r="AT47" s="50">
        <f t="shared" si="20"/>
        <v>33.355190907166104</v>
      </c>
      <c r="AU47" s="51">
        <f t="shared" si="21"/>
        <v>33.355190907166104</v>
      </c>
      <c r="AV47" s="51">
        <f t="shared" si="22"/>
        <v>0</v>
      </c>
      <c r="AW47" s="52">
        <f t="shared" si="36"/>
        <v>1</v>
      </c>
      <c r="AX47" s="52">
        <f t="shared" si="37"/>
        <v>3</v>
      </c>
      <c r="AY47" s="44">
        <f t="shared" si="23"/>
      </c>
      <c r="AZ47" s="45">
        <f t="shared" si="24"/>
      </c>
      <c r="BA47" s="46">
        <f t="shared" si="38"/>
      </c>
    </row>
    <row r="48" spans="1:53" ht="13.5">
      <c r="A48" s="19">
        <f>IF('地盤状態入力'!L49="○",1,"")</f>
        <v>1</v>
      </c>
      <c r="B48" s="163">
        <f>'地盤状態入力'!B49</f>
        <v>17</v>
      </c>
      <c r="C48" s="164" t="str">
        <f>IF('地盤状態入力'!C49="","",'地盤状態入力'!C49)</f>
        <v>砂質土</v>
      </c>
      <c r="D48" s="165">
        <f>IF('地盤状態入力'!D49="","",'地盤状態入力'!D49)</f>
        <v>6</v>
      </c>
      <c r="E48" s="166">
        <f>IF('地盤状態入力'!E49="","",'地盤状態入力'!E49)</f>
        <v>43</v>
      </c>
      <c r="F48" s="166">
        <f>IF('地盤状態入力'!G49="","",'地盤状態入力'!G49)</f>
        <v>100</v>
      </c>
      <c r="G48" s="167">
        <f>IF('地盤状態入力'!H49="","",'地盤状態入力'!H49)</f>
      </c>
      <c r="H48" s="167">
        <f>IF('地盤状態入力'!I49="","",'地盤状態入力'!I49)</f>
      </c>
      <c r="I48" s="24">
        <f>IF(E48="","",I47+(B48-B47)*'地盤状態入力'!F49)</f>
        <v>284.32</v>
      </c>
      <c r="J48" s="24">
        <f t="shared" si="25"/>
        <v>147.11999999999998</v>
      </c>
      <c r="K48" s="24">
        <f t="shared" si="26"/>
        <v>127.51999999999998</v>
      </c>
      <c r="L48" s="25">
        <f t="shared" si="27"/>
        <v>0.745</v>
      </c>
      <c r="M48" s="24">
        <f t="shared" si="28"/>
        <v>37.695745910168235</v>
      </c>
      <c r="N48" s="24">
        <f>IF(E48="","",MAX(MIN(MIN(0.1*'地盤状態入力'!D49+6,0.2*'地盤状態入力'!D49+4),1.2*'地盤状態入力'!D49-6),0))</f>
        <v>1.1999999999999993</v>
      </c>
      <c r="O48" s="26">
        <f t="shared" si="0"/>
        <v>38.89574591016823</v>
      </c>
      <c r="P48" s="27">
        <f t="shared" si="39"/>
        <v>5.916025023377783</v>
      </c>
      <c r="Q48" s="28">
        <f t="shared" si="1"/>
        <v>0.23490446621755742</v>
      </c>
      <c r="R48" s="28">
        <f t="shared" si="2"/>
        <v>25.184812867281288</v>
      </c>
      <c r="S48" s="101">
        <f t="shared" si="30"/>
      </c>
      <c r="T48" s="318">
        <f t="shared" si="3"/>
      </c>
      <c r="U48" s="28">
        <f>IF($T48="","",CalcGammaCY($O48,Q48))</f>
      </c>
      <c r="V48" s="323">
        <f t="shared" si="31"/>
      </c>
      <c r="W48" s="27">
        <f t="shared" si="4"/>
        <v>5.916025023377783</v>
      </c>
      <c r="X48" s="28">
        <f t="shared" si="5"/>
        <v>0.33400478790308946</v>
      </c>
      <c r="Y48" s="28">
        <f t="shared" si="6"/>
        <v>17.712395862703325</v>
      </c>
      <c r="Z48" s="102">
        <f t="shared" si="32"/>
      </c>
      <c r="AA48" s="92">
        <f t="shared" si="7"/>
      </c>
      <c r="AB48" s="28">
        <f>IF($AA48="","",CalcGammaCY($O48,X48))</f>
      </c>
      <c r="AC48" s="28">
        <f t="shared" si="33"/>
      </c>
      <c r="AD48" s="27">
        <f t="shared" si="8"/>
        <v>5.916025023377783</v>
      </c>
      <c r="AE48" s="28">
        <f t="shared" si="9"/>
        <v>0.18792357297404594</v>
      </c>
      <c r="AF48" s="28">
        <f t="shared" si="10"/>
        <v>31.481016084101608</v>
      </c>
      <c r="AG48" s="101">
        <f t="shared" si="34"/>
      </c>
      <c r="AH48" s="318">
        <f t="shared" si="11"/>
      </c>
      <c r="AI48" s="30">
        <f>IF($AH48="","",CalcGammaCY($O48,AE48))</f>
      </c>
      <c r="AJ48" s="328">
        <f t="shared" si="35"/>
      </c>
      <c r="AL48" s="296">
        <f t="shared" si="12"/>
        <v>1</v>
      </c>
      <c r="AM48" s="44">
        <f t="shared" si="13"/>
        <v>1</v>
      </c>
      <c r="AN48" s="50">
        <f t="shared" si="14"/>
        <v>24.184812867281288</v>
      </c>
      <c r="AO48" s="51">
        <f t="shared" si="15"/>
        <v>24.184812867281288</v>
      </c>
      <c r="AP48" s="51">
        <f t="shared" si="16"/>
        <v>0</v>
      </c>
      <c r="AQ48" s="50">
        <f t="shared" si="17"/>
        <v>16.712395862703325</v>
      </c>
      <c r="AR48" s="51">
        <f t="shared" si="18"/>
        <v>16.712395862703325</v>
      </c>
      <c r="AS48" s="51">
        <f t="shared" si="19"/>
        <v>0</v>
      </c>
      <c r="AT48" s="50">
        <f t="shared" si="20"/>
        <v>30.481016084101608</v>
      </c>
      <c r="AU48" s="51">
        <f t="shared" si="21"/>
        <v>30.481016084101608</v>
      </c>
      <c r="AV48" s="51">
        <f t="shared" si="22"/>
        <v>0</v>
      </c>
      <c r="AW48" s="52">
        <f t="shared" si="36"/>
        <v>1</v>
      </c>
      <c r="AX48" s="52">
        <f t="shared" si="37"/>
        <v>3</v>
      </c>
      <c r="AY48" s="44">
        <f t="shared" si="23"/>
      </c>
      <c r="AZ48" s="45">
        <f t="shared" si="24"/>
      </c>
      <c r="BA48" s="46">
        <f t="shared" si="38"/>
      </c>
    </row>
    <row r="49" spans="1:53" ht="13.5">
      <c r="A49" s="19">
        <f>IF('地盤状態入力'!L50="○",1,"")</f>
      </c>
      <c r="B49" s="163">
        <f>'地盤状態入力'!B50</f>
        <v>17.5</v>
      </c>
      <c r="C49" s="164">
        <f>IF('地盤状態入力'!C50="","",'地盤状態入力'!C50)</f>
      </c>
      <c r="D49" s="165">
        <f>IF('地盤状態入力'!D50="","",'地盤状態入力'!D50)</f>
      </c>
      <c r="E49" s="166">
        <f>IF('地盤状態入力'!E50="","",'地盤状態入力'!E50)</f>
      </c>
      <c r="F49" s="166">
        <f>IF('地盤状態入力'!G50="","",'地盤状態入力'!G50)</f>
      </c>
      <c r="G49" s="167">
        <f>IF('地盤状態入力'!H50="","",'地盤状態入力'!H50)</f>
      </c>
      <c r="H49" s="167">
        <f>IF('地盤状態入力'!I50="","",'地盤状態入力'!I50)</f>
      </c>
      <c r="I49" s="24">
        <f>IF(E49="","",I48+(B49-B48)*'地盤状態入力'!F50)</f>
      </c>
      <c r="J49" s="24">
        <f t="shared" si="25"/>
      </c>
      <c r="K49" s="24">
        <f t="shared" si="26"/>
      </c>
      <c r="L49" s="25">
        <f t="shared" si="27"/>
      </c>
      <c r="M49" s="24">
        <f t="shared" si="28"/>
      </c>
      <c r="N49" s="24">
        <f>IF(E49="","",MAX(MIN(MIN(0.1*'地盤状態入力'!D50+6,0.2*'地盤状態入力'!D50+4),1.2*'地盤状態入力'!D50-6),0))</f>
      </c>
      <c r="O49" s="26">
        <f t="shared" si="0"/>
      </c>
      <c r="P49" s="27">
        <f t="shared" si="39"/>
      </c>
      <c r="Q49" s="28">
        <f t="shared" si="1"/>
      </c>
      <c r="R49" s="28">
        <f t="shared" si="2"/>
      </c>
      <c r="S49" s="101">
        <f t="shared" si="30"/>
      </c>
      <c r="T49" s="318">
        <f t="shared" si="3"/>
      </c>
      <c r="U49" s="28">
        <f>IF($T49="","",CalcGammaCY($O49,Q49))</f>
      </c>
      <c r="V49" s="323">
        <f t="shared" si="31"/>
      </c>
      <c r="W49" s="27">
        <f t="shared" si="4"/>
      </c>
      <c r="X49" s="28">
        <f t="shared" si="5"/>
      </c>
      <c r="Y49" s="28">
        <f t="shared" si="6"/>
      </c>
      <c r="Z49" s="102">
        <f t="shared" si="32"/>
      </c>
      <c r="AA49" s="92">
        <f t="shared" si="7"/>
      </c>
      <c r="AB49" s="28">
        <f>IF($AA49="","",CalcGammaCY($O49,X49))</f>
      </c>
      <c r="AC49" s="28">
        <f t="shared" si="33"/>
      </c>
      <c r="AD49" s="27">
        <f t="shared" si="8"/>
      </c>
      <c r="AE49" s="28">
        <f t="shared" si="9"/>
      </c>
      <c r="AF49" s="28">
        <f t="shared" si="10"/>
      </c>
      <c r="AG49" s="101">
        <f t="shared" si="34"/>
      </c>
      <c r="AH49" s="318">
        <f t="shared" si="11"/>
      </c>
      <c r="AI49" s="30">
        <f>IF($AH49="","",CalcGammaCY($O49,AE49))</f>
      </c>
      <c r="AJ49" s="328">
        <f t="shared" si="35"/>
      </c>
      <c r="AL49" s="296">
        <f t="shared" si="12"/>
        <v>1</v>
      </c>
      <c r="AM49" s="44">
        <f t="shared" si="13"/>
        <v>1</v>
      </c>
      <c r="AN49" s="50">
        <f t="shared" si="14"/>
      </c>
      <c r="AO49" s="51">
        <f t="shared" si="15"/>
      </c>
      <c r="AP49" s="51">
        <f t="shared" si="16"/>
      </c>
      <c r="AQ49" s="50">
        <f t="shared" si="17"/>
      </c>
      <c r="AR49" s="51">
        <f t="shared" si="18"/>
      </c>
      <c r="AS49" s="51">
        <f t="shared" si="19"/>
      </c>
      <c r="AT49" s="50">
        <f t="shared" si="20"/>
      </c>
      <c r="AU49" s="51">
        <f t="shared" si="21"/>
      </c>
      <c r="AV49" s="51">
        <f t="shared" si="22"/>
      </c>
      <c r="AW49" s="52">
        <f t="shared" si="36"/>
        <v>1</v>
      </c>
      <c r="AX49" s="52">
        <f t="shared" si="37"/>
        <v>3</v>
      </c>
      <c r="AY49" s="44">
        <f t="shared" si="23"/>
      </c>
      <c r="AZ49" s="45">
        <f t="shared" si="24"/>
      </c>
      <c r="BA49" s="46">
        <f t="shared" si="38"/>
      </c>
    </row>
    <row r="50" spans="1:53" ht="13.5">
      <c r="A50" s="19">
        <f>IF('地盤状態入力'!L51="○",1,"")</f>
      </c>
      <c r="B50" s="163">
        <f>'地盤状態入力'!B51</f>
        <v>18</v>
      </c>
      <c r="C50" s="164">
        <f>IF('地盤状態入力'!C51="","",'地盤状態入力'!C51)</f>
      </c>
      <c r="D50" s="165">
        <f>IF('地盤状態入力'!D51="","",'地盤状態入力'!D51)</f>
      </c>
      <c r="E50" s="166">
        <f>IF('地盤状態入力'!E51="","",'地盤状態入力'!E51)</f>
      </c>
      <c r="F50" s="166">
        <f>IF('地盤状態入力'!G51="","",'地盤状態入力'!G51)</f>
      </c>
      <c r="G50" s="167">
        <f>IF('地盤状態入力'!H51="","",'地盤状態入力'!H51)</f>
      </c>
      <c r="H50" s="167">
        <f>IF('地盤状態入力'!I51="","",'地盤状態入力'!I51)</f>
      </c>
      <c r="I50" s="24">
        <f>IF(E50="","",I49+(B50-B49)*'地盤状態入力'!F51)</f>
      </c>
      <c r="J50" s="24">
        <f t="shared" si="25"/>
      </c>
      <c r="K50" s="24">
        <f t="shared" si="26"/>
      </c>
      <c r="L50" s="25">
        <f t="shared" si="27"/>
      </c>
      <c r="M50" s="24">
        <f t="shared" si="28"/>
      </c>
      <c r="N50" s="24">
        <f>IF(E50="","",MAX(MIN(MIN(0.1*'地盤状態入力'!D51+6,0.2*'地盤状態入力'!D51+4),1.2*'地盤状態入力'!D51-6),0))</f>
      </c>
      <c r="O50" s="26">
        <f t="shared" si="0"/>
      </c>
      <c r="P50" s="27">
        <f t="shared" si="39"/>
      </c>
      <c r="Q50" s="28">
        <f t="shared" si="1"/>
      </c>
      <c r="R50" s="28">
        <f t="shared" si="2"/>
      </c>
      <c r="S50" s="101">
        <f t="shared" si="30"/>
      </c>
      <c r="T50" s="318">
        <f t="shared" si="3"/>
      </c>
      <c r="U50" s="28">
        <f>IF($T50="","",CalcGammaCY($O50,Q50))</f>
      </c>
      <c r="V50" s="323">
        <f t="shared" si="31"/>
      </c>
      <c r="W50" s="27">
        <f t="shared" si="4"/>
      </c>
      <c r="X50" s="28">
        <f t="shared" si="5"/>
      </c>
      <c r="Y50" s="28">
        <f t="shared" si="6"/>
      </c>
      <c r="Z50" s="102">
        <f t="shared" si="32"/>
      </c>
      <c r="AA50" s="92">
        <f t="shared" si="7"/>
      </c>
      <c r="AB50" s="28">
        <f>IF($AA50="","",CalcGammaCY($O50,X50))</f>
      </c>
      <c r="AC50" s="28">
        <f t="shared" si="33"/>
      </c>
      <c r="AD50" s="27">
        <f t="shared" si="8"/>
      </c>
      <c r="AE50" s="28">
        <f t="shared" si="9"/>
      </c>
      <c r="AF50" s="28">
        <f t="shared" si="10"/>
      </c>
      <c r="AG50" s="101">
        <f t="shared" si="34"/>
      </c>
      <c r="AH50" s="318">
        <f t="shared" si="11"/>
      </c>
      <c r="AI50" s="30">
        <f>IF($AH50="","",CalcGammaCY($O50,AE50))</f>
      </c>
      <c r="AJ50" s="328">
        <f t="shared" si="35"/>
      </c>
      <c r="AL50" s="296">
        <f t="shared" si="12"/>
        <v>1</v>
      </c>
      <c r="AM50" s="44">
        <f t="shared" si="13"/>
        <v>1</v>
      </c>
      <c r="AN50" s="50">
        <f t="shared" si="14"/>
      </c>
      <c r="AO50" s="51">
        <f t="shared" si="15"/>
      </c>
      <c r="AP50" s="51">
        <f t="shared" si="16"/>
      </c>
      <c r="AQ50" s="50">
        <f t="shared" si="17"/>
      </c>
      <c r="AR50" s="51">
        <f t="shared" si="18"/>
      </c>
      <c r="AS50" s="51">
        <f t="shared" si="19"/>
      </c>
      <c r="AT50" s="50">
        <f t="shared" si="20"/>
      </c>
      <c r="AU50" s="51">
        <f t="shared" si="21"/>
      </c>
      <c r="AV50" s="51">
        <f t="shared" si="22"/>
      </c>
      <c r="AW50" s="52">
        <f t="shared" si="36"/>
        <v>1</v>
      </c>
      <c r="AX50" s="52">
        <f t="shared" si="37"/>
        <v>3</v>
      </c>
      <c r="AY50" s="44">
        <f t="shared" si="23"/>
      </c>
      <c r="AZ50" s="45">
        <f t="shared" si="24"/>
      </c>
      <c r="BA50" s="46">
        <f t="shared" si="38"/>
      </c>
    </row>
    <row r="51" spans="1:53" ht="13.5">
      <c r="A51" s="19">
        <f>IF('地盤状態入力'!L52="○",1,"")</f>
      </c>
      <c r="B51" s="163">
        <f>'地盤状態入力'!B52</f>
        <v>18.5</v>
      </c>
      <c r="C51" s="164">
        <f>IF('地盤状態入力'!C52="","",'地盤状態入力'!C52)</f>
      </c>
      <c r="D51" s="165">
        <f>IF('地盤状態入力'!D52="","",'地盤状態入力'!D52)</f>
      </c>
      <c r="E51" s="166">
        <f>IF('地盤状態入力'!E52="","",'地盤状態入力'!E52)</f>
      </c>
      <c r="F51" s="166">
        <f>IF('地盤状態入力'!G52="","",'地盤状態入力'!G52)</f>
      </c>
      <c r="G51" s="167">
        <f>IF('地盤状態入力'!H52="","",'地盤状態入力'!H52)</f>
      </c>
      <c r="H51" s="167">
        <f>IF('地盤状態入力'!I52="","",'地盤状態入力'!I52)</f>
      </c>
      <c r="I51" s="24">
        <f>IF(E51="","",I50+(B51-B50)*'地盤状態入力'!F52)</f>
      </c>
      <c r="J51" s="24">
        <f t="shared" si="25"/>
      </c>
      <c r="K51" s="24">
        <f t="shared" si="26"/>
      </c>
      <c r="L51" s="25">
        <f t="shared" si="27"/>
      </c>
      <c r="M51" s="24">
        <f t="shared" si="28"/>
      </c>
      <c r="N51" s="24">
        <f>IF(E51="","",MAX(MIN(MIN(0.1*'地盤状態入力'!D52+6,0.2*'地盤状態入力'!D52+4),1.2*'地盤状態入力'!D52-6),0))</f>
      </c>
      <c r="O51" s="26">
        <f t="shared" si="0"/>
      </c>
      <c r="P51" s="27">
        <f t="shared" si="39"/>
      </c>
      <c r="Q51" s="28">
        <f t="shared" si="1"/>
      </c>
      <c r="R51" s="28">
        <f t="shared" si="2"/>
      </c>
      <c r="S51" s="101">
        <f t="shared" si="30"/>
      </c>
      <c r="T51" s="318">
        <f t="shared" si="3"/>
      </c>
      <c r="U51" s="28">
        <f>IF($T51="","",CalcGammaCY($O51,Q51))</f>
      </c>
      <c r="V51" s="323">
        <f t="shared" si="31"/>
      </c>
      <c r="W51" s="27">
        <f t="shared" si="4"/>
      </c>
      <c r="X51" s="28">
        <f t="shared" si="5"/>
      </c>
      <c r="Y51" s="28">
        <f t="shared" si="6"/>
      </c>
      <c r="Z51" s="102">
        <f t="shared" si="32"/>
      </c>
      <c r="AA51" s="92">
        <f t="shared" si="7"/>
      </c>
      <c r="AB51" s="28">
        <f>IF($AA51="","",CalcGammaCY($O51,X51))</f>
      </c>
      <c r="AC51" s="28">
        <f t="shared" si="33"/>
      </c>
      <c r="AD51" s="27">
        <f t="shared" si="8"/>
      </c>
      <c r="AE51" s="28">
        <f t="shared" si="9"/>
      </c>
      <c r="AF51" s="28">
        <f t="shared" si="10"/>
      </c>
      <c r="AG51" s="101">
        <f t="shared" si="34"/>
      </c>
      <c r="AH51" s="318">
        <f t="shared" si="11"/>
      </c>
      <c r="AI51" s="30">
        <f>IF($AH51="","",CalcGammaCY($O51,AE51))</f>
      </c>
      <c r="AJ51" s="328">
        <f t="shared" si="35"/>
      </c>
      <c r="AL51" s="296">
        <f t="shared" si="12"/>
        <v>1</v>
      </c>
      <c r="AM51" s="44">
        <f t="shared" si="13"/>
        <v>1</v>
      </c>
      <c r="AN51" s="50">
        <f t="shared" si="14"/>
      </c>
      <c r="AO51" s="51">
        <f t="shared" si="15"/>
      </c>
      <c r="AP51" s="51">
        <f t="shared" si="16"/>
      </c>
      <c r="AQ51" s="50">
        <f t="shared" si="17"/>
      </c>
      <c r="AR51" s="51">
        <f t="shared" si="18"/>
      </c>
      <c r="AS51" s="51">
        <f t="shared" si="19"/>
      </c>
      <c r="AT51" s="50">
        <f t="shared" si="20"/>
      </c>
      <c r="AU51" s="51">
        <f t="shared" si="21"/>
      </c>
      <c r="AV51" s="51">
        <f t="shared" si="22"/>
      </c>
      <c r="AW51" s="52">
        <f>$D$6</f>
        <v>1</v>
      </c>
      <c r="AX51" s="52">
        <f t="shared" si="37"/>
        <v>3</v>
      </c>
      <c r="AY51" s="44">
        <f t="shared" si="23"/>
      </c>
      <c r="AZ51" s="45">
        <f t="shared" si="24"/>
      </c>
      <c r="BA51" s="46">
        <f t="shared" si="38"/>
      </c>
    </row>
    <row r="52" spans="1:53" ht="13.5">
      <c r="A52" s="19">
        <f>IF('地盤状態入力'!L53="○",1,"")</f>
      </c>
      <c r="B52" s="163">
        <f>'地盤状態入力'!B53</f>
        <v>19</v>
      </c>
      <c r="C52" s="164">
        <f>IF('地盤状態入力'!C53="","",'地盤状態入力'!C53)</f>
      </c>
      <c r="D52" s="165">
        <f>IF('地盤状態入力'!D53="","",'地盤状態入力'!D53)</f>
      </c>
      <c r="E52" s="166">
        <f>IF('地盤状態入力'!E53="","",'地盤状態入力'!E53)</f>
      </c>
      <c r="F52" s="166">
        <f>IF('地盤状態入力'!G53="","",'地盤状態入力'!G53)</f>
      </c>
      <c r="G52" s="167">
        <f>IF('地盤状態入力'!H53="","",'地盤状態入力'!H53)</f>
      </c>
      <c r="H52" s="167">
        <f>IF('地盤状態入力'!I53="","",'地盤状態入力'!I53)</f>
      </c>
      <c r="I52" s="24">
        <f>IF(E52="","",I51+(B52-B51)*'地盤状態入力'!F53)</f>
      </c>
      <c r="J52" s="24">
        <f t="shared" si="25"/>
      </c>
      <c r="K52" s="24">
        <f t="shared" si="26"/>
      </c>
      <c r="L52" s="25">
        <f t="shared" si="27"/>
      </c>
      <c r="M52" s="24">
        <f t="shared" si="28"/>
      </c>
      <c r="N52" s="24">
        <f>IF(E52="","",MAX(MIN(MIN(0.1*'地盤状態入力'!D53+6,0.2*'地盤状態入力'!D53+4),1.2*'地盤状態入力'!D53-6),0))</f>
      </c>
      <c r="O52" s="26">
        <f t="shared" si="0"/>
      </c>
      <c r="P52" s="27">
        <f t="shared" si="39"/>
      </c>
      <c r="Q52" s="28">
        <f t="shared" si="1"/>
      </c>
      <c r="R52" s="28">
        <f t="shared" si="2"/>
      </c>
      <c r="S52" s="101">
        <f t="shared" si="30"/>
      </c>
      <c r="T52" s="318">
        <f t="shared" si="3"/>
      </c>
      <c r="U52" s="28">
        <f>IF($T52="","",CalcGammaCY($O52,Q52))</f>
      </c>
      <c r="V52" s="323">
        <f t="shared" si="31"/>
      </c>
      <c r="W52" s="27">
        <f t="shared" si="4"/>
      </c>
      <c r="X52" s="28">
        <f t="shared" si="5"/>
      </c>
      <c r="Y52" s="28">
        <f t="shared" si="6"/>
      </c>
      <c r="Z52" s="102">
        <f t="shared" si="32"/>
      </c>
      <c r="AA52" s="92">
        <f t="shared" si="7"/>
      </c>
      <c r="AB52" s="28">
        <f>IF($AA52="","",CalcGammaCY($O52,X52))</f>
      </c>
      <c r="AC52" s="28">
        <f t="shared" si="33"/>
      </c>
      <c r="AD52" s="27">
        <f t="shared" si="8"/>
      </c>
      <c r="AE52" s="28">
        <f t="shared" si="9"/>
      </c>
      <c r="AF52" s="28">
        <f t="shared" si="10"/>
      </c>
      <c r="AG52" s="101">
        <f t="shared" si="34"/>
      </c>
      <c r="AH52" s="318">
        <f t="shared" si="11"/>
      </c>
      <c r="AI52" s="30">
        <f>IF($AH52="","",CalcGammaCY($O52,AE52))</f>
      </c>
      <c r="AJ52" s="328">
        <f t="shared" si="35"/>
      </c>
      <c r="AL52" s="296">
        <f t="shared" si="12"/>
        <v>1</v>
      </c>
      <c r="AM52" s="44">
        <f t="shared" si="13"/>
        <v>1</v>
      </c>
      <c r="AN52" s="50">
        <f t="shared" si="14"/>
      </c>
      <c r="AO52" s="51">
        <f t="shared" si="15"/>
      </c>
      <c r="AP52" s="51">
        <f t="shared" si="16"/>
      </c>
      <c r="AQ52" s="50">
        <f t="shared" si="17"/>
      </c>
      <c r="AR52" s="51">
        <f t="shared" si="18"/>
      </c>
      <c r="AS52" s="51">
        <f t="shared" si="19"/>
      </c>
      <c r="AT52" s="50">
        <f t="shared" si="20"/>
      </c>
      <c r="AU52" s="51">
        <f t="shared" si="21"/>
      </c>
      <c r="AV52" s="51">
        <f t="shared" si="22"/>
      </c>
      <c r="AW52" s="52">
        <f>$D$6</f>
        <v>1</v>
      </c>
      <c r="AX52" s="52">
        <f t="shared" si="37"/>
        <v>3</v>
      </c>
      <c r="AY52" s="44">
        <f t="shared" si="23"/>
      </c>
      <c r="AZ52" s="45">
        <f t="shared" si="24"/>
      </c>
      <c r="BA52" s="46">
        <f t="shared" si="38"/>
      </c>
    </row>
    <row r="53" spans="1:53" ht="13.5">
      <c r="A53" s="19">
        <f>IF('地盤状態入力'!L54="○",1,"")</f>
      </c>
      <c r="B53" s="163">
        <f>'地盤状態入力'!B54</f>
        <v>19.5</v>
      </c>
      <c r="C53" s="164">
        <f>IF('地盤状態入力'!C54="","",'地盤状態入力'!C54)</f>
      </c>
      <c r="D53" s="165">
        <f>IF('地盤状態入力'!D54="","",'地盤状態入力'!D54)</f>
      </c>
      <c r="E53" s="166">
        <f>IF('地盤状態入力'!E54="","",'地盤状態入力'!E54)</f>
      </c>
      <c r="F53" s="166">
        <f>IF('地盤状態入力'!G54="","",'地盤状態入力'!G54)</f>
      </c>
      <c r="G53" s="167">
        <f>IF('地盤状態入力'!H54="","",'地盤状態入力'!H54)</f>
      </c>
      <c r="H53" s="167">
        <f>IF('地盤状態入力'!I54="","",'地盤状態入力'!I54)</f>
      </c>
      <c r="I53" s="24">
        <f>IF(E53="","",I52+(B53-B52)*'地盤状態入力'!F54)</f>
      </c>
      <c r="J53" s="24">
        <f t="shared" si="25"/>
      </c>
      <c r="K53" s="24">
        <f t="shared" si="26"/>
      </c>
      <c r="L53" s="25">
        <f t="shared" si="27"/>
      </c>
      <c r="M53" s="24">
        <f t="shared" si="28"/>
      </c>
      <c r="N53" s="24">
        <f>IF(E53="","",MAX(MIN(MIN(0.1*'地盤状態入力'!D54+6,0.2*'地盤状態入力'!D54+4),1.2*'地盤状態入力'!D54-6),0))</f>
      </c>
      <c r="O53" s="26">
        <f t="shared" si="0"/>
      </c>
      <c r="P53" s="27">
        <f t="shared" si="39"/>
      </c>
      <c r="Q53" s="28">
        <f t="shared" si="1"/>
      </c>
      <c r="R53" s="28">
        <f t="shared" si="2"/>
      </c>
      <c r="S53" s="101">
        <f t="shared" si="30"/>
      </c>
      <c r="T53" s="318">
        <f t="shared" si="3"/>
      </c>
      <c r="U53" s="28">
        <f>IF($T53="","",CalcGammaCY($O53,Q53))</f>
      </c>
      <c r="V53" s="323">
        <f t="shared" si="31"/>
      </c>
      <c r="W53" s="27">
        <f t="shared" si="4"/>
      </c>
      <c r="X53" s="28">
        <f t="shared" si="5"/>
      </c>
      <c r="Y53" s="28">
        <f t="shared" si="6"/>
      </c>
      <c r="Z53" s="102">
        <f t="shared" si="32"/>
      </c>
      <c r="AA53" s="92">
        <f t="shared" si="7"/>
      </c>
      <c r="AB53" s="28">
        <f>IF($AA53="","",CalcGammaCY($O53,X53))</f>
      </c>
      <c r="AC53" s="28">
        <f t="shared" si="33"/>
      </c>
      <c r="AD53" s="27">
        <f t="shared" si="8"/>
      </c>
      <c r="AE53" s="28">
        <f t="shared" si="9"/>
      </c>
      <c r="AF53" s="28">
        <f t="shared" si="10"/>
      </c>
      <c r="AG53" s="101">
        <f t="shared" si="34"/>
      </c>
      <c r="AH53" s="318">
        <f t="shared" si="11"/>
      </c>
      <c r="AI53" s="30">
        <f>IF($AH53="","",CalcGammaCY($O53,AE53))</f>
      </c>
      <c r="AJ53" s="328">
        <f t="shared" si="35"/>
      </c>
      <c r="AL53" s="296">
        <f t="shared" si="12"/>
        <v>1</v>
      </c>
      <c r="AM53" s="44">
        <f t="shared" si="13"/>
        <v>1</v>
      </c>
      <c r="AN53" s="50">
        <f t="shared" si="14"/>
      </c>
      <c r="AO53" s="51">
        <f t="shared" si="15"/>
      </c>
      <c r="AP53" s="51">
        <f t="shared" si="16"/>
      </c>
      <c r="AQ53" s="50">
        <f t="shared" si="17"/>
      </c>
      <c r="AR53" s="51">
        <f t="shared" si="18"/>
      </c>
      <c r="AS53" s="51">
        <f t="shared" si="19"/>
      </c>
      <c r="AT53" s="50">
        <f t="shared" si="20"/>
      </c>
      <c r="AU53" s="51">
        <f t="shared" si="21"/>
      </c>
      <c r="AV53" s="51">
        <f t="shared" si="22"/>
      </c>
      <c r="AW53" s="52">
        <f t="shared" si="36"/>
        <v>1</v>
      </c>
      <c r="AX53" s="52">
        <f t="shared" si="37"/>
        <v>3</v>
      </c>
      <c r="AY53" s="44">
        <f t="shared" si="23"/>
      </c>
      <c r="AZ53" s="45">
        <f t="shared" si="24"/>
      </c>
      <c r="BA53" s="46">
        <f t="shared" si="38"/>
      </c>
    </row>
    <row r="54" spans="1:53" ht="14.25" thickBot="1">
      <c r="A54" s="19">
        <f>IF('地盤状態入力'!L55="○",1,"")</f>
      </c>
      <c r="B54" s="168">
        <f>'地盤状態入力'!B55</f>
        <v>20</v>
      </c>
      <c r="C54" s="169">
        <f>IF('地盤状態入力'!C55="","",'地盤状態入力'!C55)</f>
      </c>
      <c r="D54" s="170">
        <f>IF('地盤状態入力'!D55="","",'地盤状態入力'!D55)</f>
      </c>
      <c r="E54" s="171">
        <f>IF('地盤状態入力'!E55="","",'地盤状態入力'!E55)</f>
      </c>
      <c r="F54" s="171">
        <f>IF('地盤状態入力'!G55="","",'地盤状態入力'!G55)</f>
      </c>
      <c r="G54" s="172">
        <f>IF('地盤状態入力'!H55="","",'地盤状態入力'!H55)</f>
      </c>
      <c r="H54" s="172">
        <f>IF('地盤状態入力'!I55="","",'地盤状態入力'!I55)</f>
      </c>
      <c r="I54" s="34">
        <f>IF(E54="","",I53+(B54-B53)*'地盤状態入力'!F55)</f>
      </c>
      <c r="J54" s="34">
        <f t="shared" si="25"/>
      </c>
      <c r="K54" s="34">
        <f t="shared" si="26"/>
      </c>
      <c r="L54" s="35">
        <f t="shared" si="27"/>
      </c>
      <c r="M54" s="34">
        <f t="shared" si="28"/>
      </c>
      <c r="N54" s="34">
        <f>IF(E54="","",MAX(MIN(MIN(0.1*'地盤状態入力'!D55+6,0.2*'地盤状態入力'!D55+4),1.2*'地盤状態入力'!D55-6),0))</f>
      </c>
      <c r="O54" s="36">
        <f t="shared" si="0"/>
      </c>
      <c r="P54" s="37">
        <f t="shared" si="39"/>
      </c>
      <c r="Q54" s="38">
        <f t="shared" si="1"/>
      </c>
      <c r="R54" s="38">
        <f t="shared" si="2"/>
      </c>
      <c r="S54" s="101">
        <f t="shared" si="30"/>
      </c>
      <c r="T54" s="321">
        <f t="shared" si="3"/>
      </c>
      <c r="U54" s="38">
        <f>IF($T54="","",CalcGammaCY($O54,Q54))</f>
      </c>
      <c r="V54" s="325">
        <f t="shared" si="31"/>
      </c>
      <c r="W54" s="37">
        <f t="shared" si="4"/>
      </c>
      <c r="X54" s="38">
        <f t="shared" si="5"/>
      </c>
      <c r="Y54" s="38">
        <f t="shared" si="6"/>
      </c>
      <c r="Z54" s="101">
        <f>IF(Y54="","",IF(Y54&lt;=1,(1-Y54)*(10-0.5*B54)*0.5,""))</f>
      </c>
      <c r="AA54" s="94">
        <f t="shared" si="7"/>
      </c>
      <c r="AB54" s="38">
        <f>IF($AA54="","",CalcGammaCY($O54,X54))</f>
      </c>
      <c r="AC54" s="38">
        <f t="shared" si="33"/>
      </c>
      <c r="AD54" s="37">
        <f t="shared" si="8"/>
      </c>
      <c r="AE54" s="38">
        <f t="shared" si="9"/>
      </c>
      <c r="AF54" s="38">
        <f>IF(L54="","",AD54/AE54)</f>
      </c>
      <c r="AG54" s="101">
        <f t="shared" si="34"/>
      </c>
      <c r="AH54" s="321">
        <f t="shared" si="11"/>
      </c>
      <c r="AI54" s="39">
        <f>IF($AH54="","",CalcGammaCY($O54,AE54))</f>
      </c>
      <c r="AJ54" s="330">
        <f t="shared" si="35"/>
      </c>
      <c r="AL54" s="298">
        <f t="shared" si="12"/>
        <v>1</v>
      </c>
      <c r="AM54" s="53">
        <f t="shared" si="13"/>
        <v>1</v>
      </c>
      <c r="AN54" s="54">
        <f t="shared" si="14"/>
      </c>
      <c r="AO54" s="55">
        <f t="shared" si="15"/>
      </c>
      <c r="AP54" s="55">
        <f t="shared" si="16"/>
      </c>
      <c r="AQ54" s="54">
        <f t="shared" si="17"/>
      </c>
      <c r="AR54" s="55">
        <f t="shared" si="18"/>
      </c>
      <c r="AS54" s="55">
        <f t="shared" si="19"/>
      </c>
      <c r="AT54" s="54">
        <f t="shared" si="20"/>
      </c>
      <c r="AU54" s="55">
        <f t="shared" si="21"/>
      </c>
      <c r="AV54" s="55">
        <f t="shared" si="22"/>
      </c>
      <c r="AW54" s="56">
        <f t="shared" si="36"/>
        <v>1</v>
      </c>
      <c r="AX54" s="56">
        <f t="shared" si="37"/>
        <v>3</v>
      </c>
      <c r="AY54" s="53">
        <f t="shared" si="23"/>
      </c>
      <c r="AZ54" s="57">
        <f t="shared" si="24"/>
      </c>
      <c r="BA54" s="441">
        <f t="shared" si="38"/>
      </c>
    </row>
    <row r="55" spans="2:34" ht="13.5">
      <c r="B55" s="1"/>
      <c r="C55" s="1"/>
      <c r="D55" s="1"/>
      <c r="E55" s="149"/>
      <c r="F55" s="149"/>
      <c r="G55" s="1"/>
      <c r="H55" s="1"/>
      <c r="I55" s="1"/>
      <c r="J55" s="1"/>
      <c r="K55" s="1"/>
      <c r="L55" s="2"/>
      <c r="M55" s="3"/>
      <c r="N55" s="2"/>
      <c r="O55" s="3"/>
      <c r="P55" s="1"/>
      <c r="Q55" s="3"/>
      <c r="R55" s="459"/>
      <c r="S55" s="452"/>
      <c r="T55" s="456"/>
      <c r="U55" s="109"/>
      <c r="V55" s="457"/>
      <c r="W55" s="456"/>
      <c r="X55" s="458"/>
      <c r="Y55" s="459"/>
      <c r="Z55" s="453"/>
      <c r="AA55" s="109"/>
      <c r="AB55" s="457"/>
      <c r="AC55" s="456"/>
      <c r="AD55" s="458"/>
      <c r="AE55" s="458"/>
      <c r="AF55" s="454"/>
      <c r="AG55" s="453"/>
      <c r="AH55" s="458"/>
    </row>
    <row r="56" spans="2:53" ht="14.25" thickBot="1">
      <c r="B56" s="1"/>
      <c r="C56" s="1"/>
      <c r="D56" s="1"/>
      <c r="E56" s="149"/>
      <c r="F56" s="149"/>
      <c r="G56" s="1"/>
      <c r="H56" s="1"/>
      <c r="I56" s="1"/>
      <c r="J56" s="1"/>
      <c r="K56" s="1"/>
      <c r="L56" s="2"/>
      <c r="M56" s="3"/>
      <c r="N56" s="2"/>
      <c r="O56" s="3"/>
      <c r="P56" s="1"/>
      <c r="Q56" s="3"/>
      <c r="R56" s="1"/>
      <c r="S56" s="1"/>
      <c r="T56" s="2"/>
      <c r="U56" s="1"/>
      <c r="V56" s="3"/>
      <c r="W56" s="2"/>
      <c r="Z56" s="1"/>
      <c r="AA56" s="1"/>
      <c r="AB56" s="3"/>
      <c r="AC56" s="2"/>
      <c r="AF56" s="1"/>
      <c r="AG56" s="439"/>
      <c r="AH56" s="439"/>
      <c r="AI56" s="439"/>
      <c r="AJ56" s="439"/>
      <c r="AK56" s="1"/>
      <c r="AL56" s="20"/>
      <c r="AM56" s="20"/>
      <c r="AN56" s="20"/>
      <c r="AO56" s="20"/>
      <c r="AP56" s="20"/>
      <c r="AQ56" s="20"/>
      <c r="AR56" s="20"/>
      <c r="AS56" s="20"/>
      <c r="AT56" s="20"/>
      <c r="AU56" s="20"/>
      <c r="AV56" s="20"/>
      <c r="AW56" s="20"/>
      <c r="AX56" s="20"/>
      <c r="AY56" s="442"/>
      <c r="AZ56" s="442"/>
      <c r="BA56" s="442"/>
    </row>
    <row r="57" spans="2:33" ht="13.5">
      <c r="B57" s="21"/>
      <c r="C57" s="21"/>
      <c r="D57" s="21"/>
      <c r="E57" s="161"/>
      <c r="F57" s="161"/>
      <c r="G57" s="21"/>
      <c r="H57" s="21"/>
      <c r="I57" s="21"/>
      <c r="J57" s="21"/>
      <c r="K57" s="21"/>
      <c r="L57" s="22"/>
      <c r="M57" s="23"/>
      <c r="N57" s="22"/>
      <c r="O57" s="23"/>
      <c r="P57" s="21"/>
      <c r="Q57" s="23"/>
      <c r="R57" s="21"/>
      <c r="S57" s="21"/>
      <c r="T57" s="22"/>
      <c r="U57" s="21"/>
      <c r="V57" s="23"/>
      <c r="W57" s="22"/>
      <c r="X57" s="21"/>
      <c r="Y57" s="21"/>
      <c r="Z57" s="21"/>
      <c r="AA57" s="21"/>
      <c r="AB57" s="23"/>
      <c r="AC57" s="22"/>
      <c r="AD57" s="21"/>
      <c r="AE57" s="21"/>
      <c r="AF57" s="21"/>
      <c r="AG57" s="1"/>
    </row>
    <row r="58" spans="2:33" ht="13.5">
      <c r="B58" s="558">
        <v>4</v>
      </c>
      <c r="C58" s="558"/>
      <c r="D58" s="558"/>
      <c r="E58" s="558"/>
      <c r="F58" s="558"/>
      <c r="G58" s="558"/>
      <c r="H58" s="558"/>
      <c r="I58" s="558"/>
      <c r="J58" s="558"/>
      <c r="K58" s="558"/>
      <c r="L58" s="558"/>
      <c r="M58" s="558"/>
      <c r="N58" s="558"/>
      <c r="O58" s="558"/>
      <c r="P58" s="558"/>
      <c r="Q58" s="558"/>
      <c r="R58" s="558"/>
      <c r="S58" s="558"/>
      <c r="T58" s="558"/>
      <c r="U58" s="558"/>
      <c r="V58" s="558"/>
      <c r="W58" s="558"/>
      <c r="X58" s="558"/>
      <c r="Y58" s="558"/>
      <c r="Z58" s="558"/>
      <c r="AA58" s="558"/>
      <c r="AB58" s="558"/>
      <c r="AC58" s="558"/>
      <c r="AD58" s="558"/>
      <c r="AE58" s="558"/>
      <c r="AF58" s="558"/>
      <c r="AG58" s="558"/>
    </row>
    <row r="59" ht="13.5">
      <c r="H59" s="7"/>
    </row>
    <row r="60" ht="13.5" customHeight="1">
      <c r="H60" s="7"/>
    </row>
  </sheetData>
  <sheetProtection password="CA83" sheet="1" objects="1" scenarios="1" selectLockedCells="1" selectUnlockedCells="1"/>
  <mergeCells count="41">
    <mergeCell ref="AN12:AP12"/>
    <mergeCell ref="B5:C5"/>
    <mergeCell ref="AL2:BA2"/>
    <mergeCell ref="B6:C6"/>
    <mergeCell ref="Q6:R6"/>
    <mergeCell ref="B12:B13"/>
    <mergeCell ref="Q7:R7"/>
    <mergeCell ref="Q8:R8"/>
    <mergeCell ref="B7:C7"/>
    <mergeCell ref="D7:E7"/>
    <mergeCell ref="AT12:AV12"/>
    <mergeCell ref="B58:AG58"/>
    <mergeCell ref="Y8:Z8"/>
    <mergeCell ref="Y6:Z6"/>
    <mergeCell ref="Y7:Z7"/>
    <mergeCell ref="U6:V6"/>
    <mergeCell ref="AQ12:AS12"/>
    <mergeCell ref="C12:C13"/>
    <mergeCell ref="S8:T8"/>
    <mergeCell ref="S7:T7"/>
    <mergeCell ref="P11:V11"/>
    <mergeCell ref="U8:V8"/>
    <mergeCell ref="W11:AC11"/>
    <mergeCell ref="AD11:AJ11"/>
    <mergeCell ref="B4:C4"/>
    <mergeCell ref="AL11:AV11"/>
    <mergeCell ref="S6:T6"/>
    <mergeCell ref="S4:T5"/>
    <mergeCell ref="P4:P5"/>
    <mergeCell ref="U7:V7"/>
    <mergeCell ref="U4:V5"/>
    <mergeCell ref="B2:AJ2"/>
    <mergeCell ref="W6:X6"/>
    <mergeCell ref="W7:X7"/>
    <mergeCell ref="W8:X8"/>
    <mergeCell ref="Q4:R5"/>
    <mergeCell ref="W4:X5"/>
    <mergeCell ref="D5:F5"/>
    <mergeCell ref="D6:E6"/>
    <mergeCell ref="D4:F4"/>
    <mergeCell ref="Y4:Z5"/>
  </mergeCells>
  <printOptions horizontalCentered="1"/>
  <pageMargins left="0.5905511811023623" right="0.5905511811023623" top="1.4960629921259843" bottom="0.1968503937007874" header="0.7086614173228347" footer="0"/>
  <pageSetup fitToHeight="1" fitToWidth="1" horizontalDpi="600" verticalDpi="600" orientation="landscape" paperSize="8" scale="85" r:id="rId4"/>
  <ignoredErrors>
    <ignoredError sqref="P35" formula="1"/>
  </ignoredErrors>
  <drawing r:id="rId3"/>
  <legacy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G1:X60"/>
  <sheetViews>
    <sheetView zoomScale="70" zoomScaleNormal="70" zoomScalePageLayoutView="0" workbookViewId="0" topLeftCell="A1">
      <selection activeCell="A1" sqref="A1"/>
    </sheetView>
  </sheetViews>
  <sheetFormatPr defaultColWidth="9.140625" defaultRowHeight="15"/>
  <cols>
    <col min="1" max="5" width="9.00390625" style="183" customWidth="1"/>
    <col min="6" max="6" width="3.421875" style="183" customWidth="1"/>
    <col min="7" max="7" width="6.28125" style="183" customWidth="1"/>
    <col min="8" max="9" width="7.140625" style="183" customWidth="1"/>
    <col min="10" max="10" width="7.140625" style="426" customWidth="1"/>
    <col min="11" max="11" width="7.140625" style="183" customWidth="1"/>
    <col min="12" max="12" width="7.140625" style="426" customWidth="1"/>
    <col min="13" max="13" width="7.421875" style="183" customWidth="1"/>
    <col min="14" max="14" width="7.8515625" style="183" customWidth="1"/>
    <col min="15" max="16" width="4.140625" style="183" customWidth="1"/>
    <col min="17" max="17" width="8.00390625" style="190" customWidth="1"/>
    <col min="18" max="19" width="9.00390625" style="183" customWidth="1"/>
    <col min="20" max="20" width="11.8515625" style="183" customWidth="1"/>
    <col min="21" max="16384" width="9.00390625" style="183" customWidth="1"/>
  </cols>
  <sheetData>
    <row r="1" spans="7:15" ht="14.25" thickBot="1">
      <c r="G1" s="184"/>
      <c r="H1" s="184"/>
      <c r="I1" s="184"/>
      <c r="J1" s="380"/>
      <c r="K1" s="184"/>
      <c r="L1" s="380"/>
      <c r="M1" s="184"/>
      <c r="N1" s="184"/>
      <c r="O1" s="184"/>
    </row>
    <row r="2" spans="7:17" ht="14.25" customHeight="1" thickBot="1">
      <c r="G2" s="530" t="s">
        <v>30</v>
      </c>
      <c r="H2" s="530"/>
      <c r="I2" s="530"/>
      <c r="J2" s="530"/>
      <c r="K2" s="530"/>
      <c r="L2" s="530"/>
      <c r="M2" s="530"/>
      <c r="N2" s="530"/>
      <c r="O2" s="530"/>
      <c r="P2" s="530"/>
      <c r="Q2" s="530"/>
    </row>
    <row r="3" spans="7:17" ht="14.25" thickBot="1">
      <c r="G3" s="381"/>
      <c r="H3" s="381"/>
      <c r="I3" s="381"/>
      <c r="J3" s="382"/>
      <c r="K3" s="381"/>
      <c r="L3" s="382"/>
      <c r="M3" s="383"/>
      <c r="N3" s="381"/>
      <c r="O3" s="381"/>
      <c r="P3" s="381"/>
      <c r="Q3" s="384"/>
    </row>
    <row r="4" spans="7:17" ht="13.5" customHeight="1" thickTop="1">
      <c r="G4" s="381"/>
      <c r="H4" s="381"/>
      <c r="I4" s="381"/>
      <c r="J4" s="382"/>
      <c r="K4" s="381"/>
      <c r="L4" s="382"/>
      <c r="M4" s="555" t="s">
        <v>57</v>
      </c>
      <c r="N4" s="538" t="s">
        <v>55</v>
      </c>
      <c r="O4" s="538"/>
      <c r="P4" s="540" t="s">
        <v>56</v>
      </c>
      <c r="Q4" s="541"/>
    </row>
    <row r="5" spans="7:17" ht="15" customHeight="1">
      <c r="G5" s="575" t="s">
        <v>33</v>
      </c>
      <c r="H5" s="575"/>
      <c r="I5" s="636" t="s">
        <v>151</v>
      </c>
      <c r="J5" s="636"/>
      <c r="K5" s="636"/>
      <c r="L5" s="385"/>
      <c r="M5" s="556"/>
      <c r="N5" s="539"/>
      <c r="O5" s="539"/>
      <c r="P5" s="542"/>
      <c r="Q5" s="543"/>
    </row>
    <row r="6" spans="7:17" ht="15" customHeight="1" thickBot="1">
      <c r="G6" s="585" t="s">
        <v>32</v>
      </c>
      <c r="H6" s="585"/>
      <c r="I6" s="637" t="s">
        <v>44</v>
      </c>
      <c r="J6" s="637"/>
      <c r="K6" s="637"/>
      <c r="L6" s="385"/>
      <c r="M6" s="386">
        <v>1</v>
      </c>
      <c r="N6" s="638">
        <v>200</v>
      </c>
      <c r="O6" s="638"/>
      <c r="P6" s="639">
        <v>9</v>
      </c>
      <c r="Q6" s="640"/>
    </row>
    <row r="7" spans="7:17" ht="15" customHeight="1" thickTop="1">
      <c r="G7" s="552" t="s">
        <v>200</v>
      </c>
      <c r="H7" s="586"/>
      <c r="I7" s="641">
        <v>1</v>
      </c>
      <c r="J7" s="641"/>
      <c r="K7" s="506" t="s">
        <v>174</v>
      </c>
      <c r="L7" s="385"/>
      <c r="M7" s="386">
        <v>2</v>
      </c>
      <c r="N7" s="638">
        <v>350</v>
      </c>
      <c r="O7" s="638"/>
      <c r="P7" s="639">
        <v>7.5</v>
      </c>
      <c r="Q7" s="640"/>
    </row>
    <row r="8" spans="7:17" ht="15" customHeight="1" thickBot="1">
      <c r="G8" s="642" t="s">
        <v>31</v>
      </c>
      <c r="H8" s="643"/>
      <c r="I8" s="644">
        <v>3</v>
      </c>
      <c r="J8" s="644"/>
      <c r="K8" s="507" t="s">
        <v>174</v>
      </c>
      <c r="L8" s="344"/>
      <c r="M8" s="387">
        <v>3</v>
      </c>
      <c r="N8" s="645">
        <v>160</v>
      </c>
      <c r="O8" s="645"/>
      <c r="P8" s="646">
        <v>9</v>
      </c>
      <c r="Q8" s="647"/>
    </row>
    <row r="9" spans="7:24" ht="12" customHeight="1" thickTop="1">
      <c r="G9" s="388"/>
      <c r="H9" s="388"/>
      <c r="I9" s="389"/>
      <c r="J9" s="385"/>
      <c r="K9" s="390"/>
      <c r="L9" s="344"/>
      <c r="M9" s="383"/>
      <c r="N9" s="381"/>
      <c r="O9" s="381"/>
      <c r="P9" s="381"/>
      <c r="Q9" s="381"/>
      <c r="S9" s="341"/>
      <c r="T9" s="342"/>
      <c r="U9" s="391"/>
      <c r="V9" s="391"/>
      <c r="W9" s="391"/>
      <c r="X9" s="391"/>
    </row>
    <row r="10" spans="7:17" ht="12" customHeight="1">
      <c r="G10" s="388"/>
      <c r="H10" s="388"/>
      <c r="I10" s="392"/>
      <c r="J10" s="346"/>
      <c r="K10" s="393"/>
      <c r="L10" s="344"/>
      <c r="M10" s="347"/>
      <c r="N10" s="348" t="s">
        <v>162</v>
      </c>
      <c r="O10" s="349"/>
      <c r="P10" s="381"/>
      <c r="Q10" s="384"/>
    </row>
    <row r="11" spans="7:17" ht="12" customHeight="1" thickBot="1">
      <c r="G11" s="388"/>
      <c r="H11" s="388"/>
      <c r="I11" s="389"/>
      <c r="J11" s="385"/>
      <c r="K11" s="390"/>
      <c r="L11" s="344"/>
      <c r="M11" s="350"/>
      <c r="N11" s="349"/>
      <c r="O11" s="349"/>
      <c r="P11" s="381"/>
      <c r="Q11" s="384"/>
    </row>
    <row r="12" spans="7:17" ht="13.5" customHeight="1">
      <c r="G12" s="58"/>
      <c r="H12" s="544" t="s">
        <v>4</v>
      </c>
      <c r="I12" s="60"/>
      <c r="J12" s="152"/>
      <c r="K12" s="96"/>
      <c r="L12" s="157"/>
      <c r="M12" s="336"/>
      <c r="N12" s="144"/>
      <c r="O12" s="147"/>
      <c r="P12" s="381"/>
      <c r="Q12" s="394"/>
    </row>
    <row r="13" spans="7:17" ht="12" customHeight="1">
      <c r="G13" s="551" t="s">
        <v>163</v>
      </c>
      <c r="H13" s="545"/>
      <c r="I13" s="65" t="s">
        <v>5</v>
      </c>
      <c r="J13" s="153"/>
      <c r="K13" s="66" t="s">
        <v>35</v>
      </c>
      <c r="L13" s="158"/>
      <c r="M13" s="337" t="s">
        <v>58</v>
      </c>
      <c r="N13" s="145" t="s">
        <v>28</v>
      </c>
      <c r="O13" s="148"/>
      <c r="P13" s="381"/>
      <c r="Q13" s="333" t="s">
        <v>79</v>
      </c>
    </row>
    <row r="14" spans="7:17" ht="12" customHeight="1">
      <c r="G14" s="551"/>
      <c r="H14" s="545"/>
      <c r="I14" s="65" t="s">
        <v>6</v>
      </c>
      <c r="J14" s="153" t="s">
        <v>13</v>
      </c>
      <c r="K14" s="66" t="s">
        <v>36</v>
      </c>
      <c r="L14" s="158" t="s">
        <v>14</v>
      </c>
      <c r="M14" s="337" t="s">
        <v>59</v>
      </c>
      <c r="N14" s="145" t="s">
        <v>164</v>
      </c>
      <c r="O14" s="148"/>
      <c r="P14" s="381"/>
      <c r="Q14" s="127" t="s">
        <v>78</v>
      </c>
    </row>
    <row r="15" spans="7:17" ht="13.5">
      <c r="G15" s="78" t="s">
        <v>2</v>
      </c>
      <c r="H15" s="546"/>
      <c r="I15" s="79" t="s">
        <v>175</v>
      </c>
      <c r="J15" s="154"/>
      <c r="K15" s="80" t="s">
        <v>176</v>
      </c>
      <c r="L15" s="159" t="s">
        <v>38</v>
      </c>
      <c r="M15" s="338" t="s">
        <v>60</v>
      </c>
      <c r="N15" s="146" t="s">
        <v>29</v>
      </c>
      <c r="O15" s="148"/>
      <c r="P15" s="381"/>
      <c r="Q15" s="128"/>
    </row>
    <row r="16" spans="7:17" ht="13.5">
      <c r="G16" s="395">
        <v>0.5</v>
      </c>
      <c r="H16" s="396" t="s">
        <v>97</v>
      </c>
      <c r="I16" s="397">
        <v>66</v>
      </c>
      <c r="J16" s="398">
        <v>2</v>
      </c>
      <c r="K16" s="399">
        <v>15.68</v>
      </c>
      <c r="L16" s="398">
        <v>100</v>
      </c>
      <c r="M16" s="400"/>
      <c r="N16" s="277" t="s">
        <v>125</v>
      </c>
      <c r="O16" s="401"/>
      <c r="P16" s="381"/>
      <c r="Q16" s="402" t="s">
        <v>125</v>
      </c>
    </row>
    <row r="17" spans="7:17" ht="13.5">
      <c r="G17" s="395">
        <v>1</v>
      </c>
      <c r="H17" s="396" t="s">
        <v>97</v>
      </c>
      <c r="I17" s="397">
        <v>66</v>
      </c>
      <c r="J17" s="398">
        <v>2</v>
      </c>
      <c r="K17" s="399">
        <v>15.68</v>
      </c>
      <c r="L17" s="398">
        <v>100</v>
      </c>
      <c r="M17" s="400"/>
      <c r="N17" s="277" t="s">
        <v>125</v>
      </c>
      <c r="O17" s="401"/>
      <c r="P17" s="381"/>
      <c r="Q17" s="402" t="s">
        <v>125</v>
      </c>
    </row>
    <row r="18" spans="7:21" ht="13.5">
      <c r="G18" s="395">
        <v>1.5</v>
      </c>
      <c r="H18" s="396" t="s">
        <v>96</v>
      </c>
      <c r="I18" s="397">
        <v>21</v>
      </c>
      <c r="J18" s="398">
        <v>4</v>
      </c>
      <c r="K18" s="399">
        <v>15.68</v>
      </c>
      <c r="L18" s="398">
        <v>100</v>
      </c>
      <c r="M18" s="400"/>
      <c r="N18" s="277" t="s">
        <v>125</v>
      </c>
      <c r="O18" s="401"/>
      <c r="P18" s="381"/>
      <c r="Q18" s="402" t="s">
        <v>125</v>
      </c>
      <c r="T18" s="133"/>
      <c r="U18" s="133"/>
    </row>
    <row r="19" spans="7:18" ht="13.5">
      <c r="G19" s="395">
        <v>2</v>
      </c>
      <c r="H19" s="396" t="s">
        <v>96</v>
      </c>
      <c r="I19" s="397">
        <v>21</v>
      </c>
      <c r="J19" s="398">
        <v>5</v>
      </c>
      <c r="K19" s="399">
        <v>15.68</v>
      </c>
      <c r="L19" s="398">
        <v>100</v>
      </c>
      <c r="M19" s="400"/>
      <c r="N19" s="277" t="s">
        <v>125</v>
      </c>
      <c r="O19" s="401"/>
      <c r="P19" s="381"/>
      <c r="Q19" s="402" t="s">
        <v>125</v>
      </c>
      <c r="R19" s="403"/>
    </row>
    <row r="20" spans="7:19" ht="13.5">
      <c r="G20" s="395">
        <v>2.5</v>
      </c>
      <c r="H20" s="396" t="s">
        <v>96</v>
      </c>
      <c r="I20" s="397">
        <v>21</v>
      </c>
      <c r="J20" s="398">
        <v>5</v>
      </c>
      <c r="K20" s="399">
        <v>15.97</v>
      </c>
      <c r="L20" s="398">
        <v>100</v>
      </c>
      <c r="M20" s="400"/>
      <c r="N20" s="277" t="s">
        <v>125</v>
      </c>
      <c r="O20" s="401"/>
      <c r="P20" s="381"/>
      <c r="Q20" s="402" t="s">
        <v>125</v>
      </c>
      <c r="R20" s="403"/>
      <c r="S20" s="403"/>
    </row>
    <row r="21" spans="7:17" ht="13.5">
      <c r="G21" s="395">
        <v>3</v>
      </c>
      <c r="H21" s="396" t="s">
        <v>96</v>
      </c>
      <c r="I21" s="397">
        <v>21</v>
      </c>
      <c r="J21" s="398">
        <v>5</v>
      </c>
      <c r="K21" s="399">
        <v>15.97</v>
      </c>
      <c r="L21" s="398">
        <v>100</v>
      </c>
      <c r="M21" s="400"/>
      <c r="N21" s="277" t="s">
        <v>125</v>
      </c>
      <c r="O21" s="401"/>
      <c r="P21" s="381"/>
      <c r="Q21" s="404" t="s">
        <v>125</v>
      </c>
    </row>
    <row r="22" spans="7:17" ht="13.5">
      <c r="G22" s="395">
        <v>3.5</v>
      </c>
      <c r="H22" s="396" t="s">
        <v>96</v>
      </c>
      <c r="I22" s="397">
        <v>21</v>
      </c>
      <c r="J22" s="398">
        <v>5</v>
      </c>
      <c r="K22" s="399">
        <v>15.97</v>
      </c>
      <c r="L22" s="398">
        <v>95</v>
      </c>
      <c r="M22" s="400"/>
      <c r="N22" s="277" t="s">
        <v>157</v>
      </c>
      <c r="O22" s="401"/>
      <c r="P22" s="381"/>
      <c r="Q22" s="404" t="s">
        <v>126</v>
      </c>
    </row>
    <row r="23" spans="7:17" ht="13.5">
      <c r="G23" s="395">
        <v>4</v>
      </c>
      <c r="H23" s="396" t="s">
        <v>96</v>
      </c>
      <c r="I23" s="397">
        <v>21</v>
      </c>
      <c r="J23" s="398">
        <v>5</v>
      </c>
      <c r="K23" s="399">
        <v>15.97</v>
      </c>
      <c r="L23" s="398">
        <v>95</v>
      </c>
      <c r="M23" s="400"/>
      <c r="N23" s="277" t="s">
        <v>157</v>
      </c>
      <c r="O23" s="401"/>
      <c r="P23" s="381"/>
      <c r="Q23" s="404" t="s">
        <v>126</v>
      </c>
    </row>
    <row r="24" spans="7:17" ht="13.5">
      <c r="G24" s="395">
        <v>4.5</v>
      </c>
      <c r="H24" s="396" t="s">
        <v>96</v>
      </c>
      <c r="I24" s="397">
        <v>21</v>
      </c>
      <c r="J24" s="398">
        <v>6</v>
      </c>
      <c r="K24" s="399">
        <v>15.97</v>
      </c>
      <c r="L24" s="398">
        <v>100</v>
      </c>
      <c r="M24" s="400"/>
      <c r="N24" s="277" t="s">
        <v>125</v>
      </c>
      <c r="O24" s="401"/>
      <c r="P24" s="381"/>
      <c r="Q24" s="404" t="s">
        <v>126</v>
      </c>
    </row>
    <row r="25" spans="7:17" ht="13.5">
      <c r="G25" s="405">
        <v>5</v>
      </c>
      <c r="H25" s="406" t="s">
        <v>96</v>
      </c>
      <c r="I25" s="407">
        <v>21</v>
      </c>
      <c r="J25" s="408">
        <v>6</v>
      </c>
      <c r="K25" s="409">
        <v>15.97</v>
      </c>
      <c r="L25" s="408">
        <v>100</v>
      </c>
      <c r="M25" s="410"/>
      <c r="N25" s="411" t="s">
        <v>125</v>
      </c>
      <c r="O25" s="401"/>
      <c r="P25" s="381"/>
      <c r="Q25" s="404" t="s">
        <v>126</v>
      </c>
    </row>
    <row r="26" spans="7:17" ht="13.5">
      <c r="G26" s="395">
        <v>5.5</v>
      </c>
      <c r="H26" s="396" t="s">
        <v>96</v>
      </c>
      <c r="I26" s="397">
        <v>21</v>
      </c>
      <c r="J26" s="398">
        <v>6</v>
      </c>
      <c r="K26" s="399">
        <v>15.97</v>
      </c>
      <c r="L26" s="398">
        <v>100</v>
      </c>
      <c r="M26" s="400"/>
      <c r="N26" s="277" t="s">
        <v>125</v>
      </c>
      <c r="O26" s="401"/>
      <c r="P26" s="381"/>
      <c r="Q26" s="404" t="s">
        <v>126</v>
      </c>
    </row>
    <row r="27" spans="7:17" ht="13.5">
      <c r="G27" s="395">
        <v>6</v>
      </c>
      <c r="H27" s="396" t="s">
        <v>96</v>
      </c>
      <c r="I27" s="397">
        <v>21</v>
      </c>
      <c r="J27" s="398">
        <v>6</v>
      </c>
      <c r="K27" s="399">
        <v>15.97</v>
      </c>
      <c r="L27" s="398">
        <v>100</v>
      </c>
      <c r="M27" s="400"/>
      <c r="N27" s="277" t="s">
        <v>125</v>
      </c>
      <c r="O27" s="401"/>
      <c r="P27" s="381"/>
      <c r="Q27" s="404" t="s">
        <v>126</v>
      </c>
    </row>
    <row r="28" spans="7:17" ht="13.5">
      <c r="G28" s="395">
        <v>6.5</v>
      </c>
      <c r="H28" s="396" t="s">
        <v>96</v>
      </c>
      <c r="I28" s="397">
        <v>21</v>
      </c>
      <c r="J28" s="398">
        <v>7</v>
      </c>
      <c r="K28" s="399">
        <v>16.37</v>
      </c>
      <c r="L28" s="398">
        <v>100</v>
      </c>
      <c r="M28" s="400"/>
      <c r="N28" s="277" t="s">
        <v>125</v>
      </c>
      <c r="O28" s="401"/>
      <c r="P28" s="381"/>
      <c r="Q28" s="404" t="s">
        <v>126</v>
      </c>
    </row>
    <row r="29" spans="7:17" ht="13.5">
      <c r="G29" s="395">
        <v>7</v>
      </c>
      <c r="H29" s="396" t="s">
        <v>96</v>
      </c>
      <c r="I29" s="397">
        <v>21</v>
      </c>
      <c r="J29" s="398">
        <v>7</v>
      </c>
      <c r="K29" s="399">
        <v>16.37</v>
      </c>
      <c r="L29" s="398">
        <v>100</v>
      </c>
      <c r="M29" s="400"/>
      <c r="N29" s="277" t="s">
        <v>125</v>
      </c>
      <c r="O29" s="401"/>
      <c r="P29" s="381"/>
      <c r="Q29" s="404" t="s">
        <v>126</v>
      </c>
    </row>
    <row r="30" spans="7:17" ht="13.5">
      <c r="G30" s="395">
        <v>7.5</v>
      </c>
      <c r="H30" s="396" t="s">
        <v>96</v>
      </c>
      <c r="I30" s="397">
        <v>21</v>
      </c>
      <c r="J30" s="398">
        <v>7</v>
      </c>
      <c r="K30" s="399">
        <v>16.37</v>
      </c>
      <c r="L30" s="398">
        <v>100</v>
      </c>
      <c r="M30" s="400"/>
      <c r="N30" s="277" t="s">
        <v>125</v>
      </c>
      <c r="O30" s="401"/>
      <c r="P30" s="381"/>
      <c r="Q30" s="404" t="s">
        <v>126</v>
      </c>
    </row>
    <row r="31" spans="7:17" ht="13.5">
      <c r="G31" s="395">
        <v>8</v>
      </c>
      <c r="H31" s="396" t="s">
        <v>96</v>
      </c>
      <c r="I31" s="397">
        <v>21</v>
      </c>
      <c r="J31" s="398">
        <v>7</v>
      </c>
      <c r="K31" s="399">
        <v>16.37</v>
      </c>
      <c r="L31" s="398">
        <v>100</v>
      </c>
      <c r="M31" s="400"/>
      <c r="N31" s="277" t="s">
        <v>125</v>
      </c>
      <c r="O31" s="401"/>
      <c r="P31" s="381"/>
      <c r="Q31" s="404" t="s">
        <v>126</v>
      </c>
    </row>
    <row r="32" spans="7:17" ht="13.5">
      <c r="G32" s="395">
        <v>8.5</v>
      </c>
      <c r="H32" s="396" t="s">
        <v>96</v>
      </c>
      <c r="I32" s="397">
        <v>21</v>
      </c>
      <c r="J32" s="398">
        <v>7</v>
      </c>
      <c r="K32" s="399">
        <v>16.37</v>
      </c>
      <c r="L32" s="398">
        <v>100</v>
      </c>
      <c r="M32" s="400"/>
      <c r="N32" s="277" t="s">
        <v>125</v>
      </c>
      <c r="O32" s="401"/>
      <c r="P32" s="381"/>
      <c r="Q32" s="404" t="s">
        <v>126</v>
      </c>
    </row>
    <row r="33" spans="7:17" ht="13.5">
      <c r="G33" s="395">
        <v>9</v>
      </c>
      <c r="H33" s="396" t="s">
        <v>96</v>
      </c>
      <c r="I33" s="397">
        <v>21</v>
      </c>
      <c r="J33" s="398">
        <v>7</v>
      </c>
      <c r="K33" s="399">
        <v>16.37</v>
      </c>
      <c r="L33" s="398">
        <v>100</v>
      </c>
      <c r="M33" s="400"/>
      <c r="N33" s="277" t="s">
        <v>125</v>
      </c>
      <c r="O33" s="401"/>
      <c r="P33" s="381"/>
      <c r="Q33" s="404" t="s">
        <v>126</v>
      </c>
    </row>
    <row r="34" spans="7:17" ht="13.5">
      <c r="G34" s="395">
        <v>9.5</v>
      </c>
      <c r="H34" s="396" t="s">
        <v>156</v>
      </c>
      <c r="I34" s="397">
        <v>45</v>
      </c>
      <c r="J34" s="398">
        <v>2</v>
      </c>
      <c r="K34" s="399">
        <v>16.76</v>
      </c>
      <c r="L34" s="398">
        <v>100</v>
      </c>
      <c r="M34" s="400"/>
      <c r="N34" s="277" t="s">
        <v>125</v>
      </c>
      <c r="O34" s="401"/>
      <c r="P34" s="381"/>
      <c r="Q34" s="404" t="s">
        <v>126</v>
      </c>
    </row>
    <row r="35" spans="7:17" ht="13.5">
      <c r="G35" s="405">
        <v>10</v>
      </c>
      <c r="H35" s="406" t="s">
        <v>156</v>
      </c>
      <c r="I35" s="407">
        <v>45</v>
      </c>
      <c r="J35" s="408">
        <v>2</v>
      </c>
      <c r="K35" s="409">
        <v>16.76</v>
      </c>
      <c r="L35" s="408">
        <v>100</v>
      </c>
      <c r="M35" s="410"/>
      <c r="N35" s="411" t="s">
        <v>125</v>
      </c>
      <c r="O35" s="401"/>
      <c r="P35" s="381"/>
      <c r="Q35" s="404" t="s">
        <v>126</v>
      </c>
    </row>
    <row r="36" spans="7:17" ht="13.5">
      <c r="G36" s="395">
        <v>10.5</v>
      </c>
      <c r="H36" s="396" t="s">
        <v>156</v>
      </c>
      <c r="I36" s="397">
        <v>45</v>
      </c>
      <c r="J36" s="398">
        <v>2</v>
      </c>
      <c r="K36" s="399">
        <v>16.76</v>
      </c>
      <c r="L36" s="398">
        <v>100</v>
      </c>
      <c r="M36" s="400"/>
      <c r="N36" s="277" t="s">
        <v>125</v>
      </c>
      <c r="O36" s="401"/>
      <c r="P36" s="381"/>
      <c r="Q36" s="404" t="s">
        <v>126</v>
      </c>
    </row>
    <row r="37" spans="7:17" ht="13.5">
      <c r="G37" s="395">
        <v>11</v>
      </c>
      <c r="H37" s="396" t="s">
        <v>156</v>
      </c>
      <c r="I37" s="397">
        <v>45</v>
      </c>
      <c r="J37" s="398">
        <v>2</v>
      </c>
      <c r="K37" s="399">
        <v>16.76</v>
      </c>
      <c r="L37" s="398">
        <v>100</v>
      </c>
      <c r="M37" s="400"/>
      <c r="N37" s="277" t="s">
        <v>125</v>
      </c>
      <c r="O37" s="401"/>
      <c r="P37" s="381"/>
      <c r="Q37" s="404" t="s">
        <v>126</v>
      </c>
    </row>
    <row r="38" spans="7:17" ht="13.5">
      <c r="G38" s="395">
        <v>11.5</v>
      </c>
      <c r="H38" s="396" t="s">
        <v>96</v>
      </c>
      <c r="I38" s="397">
        <v>6</v>
      </c>
      <c r="J38" s="398">
        <v>22</v>
      </c>
      <c r="K38" s="399">
        <v>16.46</v>
      </c>
      <c r="L38" s="398">
        <v>100</v>
      </c>
      <c r="M38" s="400"/>
      <c r="N38" s="277" t="s">
        <v>125</v>
      </c>
      <c r="O38" s="401"/>
      <c r="P38" s="381"/>
      <c r="Q38" s="404" t="s">
        <v>126</v>
      </c>
    </row>
    <row r="39" spans="7:17" ht="13.5">
      <c r="G39" s="395">
        <v>12</v>
      </c>
      <c r="H39" s="396" t="s">
        <v>96</v>
      </c>
      <c r="I39" s="397">
        <v>6</v>
      </c>
      <c r="J39" s="398">
        <v>22</v>
      </c>
      <c r="K39" s="399">
        <v>16.46</v>
      </c>
      <c r="L39" s="398">
        <v>100</v>
      </c>
      <c r="M39" s="400"/>
      <c r="N39" s="277" t="s">
        <v>125</v>
      </c>
      <c r="O39" s="401"/>
      <c r="P39" s="381"/>
      <c r="Q39" s="404" t="s">
        <v>126</v>
      </c>
    </row>
    <row r="40" spans="7:20" ht="13.5">
      <c r="G40" s="395">
        <v>12.5</v>
      </c>
      <c r="H40" s="396" t="s">
        <v>96</v>
      </c>
      <c r="I40" s="397">
        <v>6</v>
      </c>
      <c r="J40" s="398">
        <v>22</v>
      </c>
      <c r="K40" s="399">
        <v>16.46</v>
      </c>
      <c r="L40" s="398">
        <v>100</v>
      </c>
      <c r="M40" s="400"/>
      <c r="N40" s="277" t="s">
        <v>125</v>
      </c>
      <c r="O40" s="401"/>
      <c r="P40" s="381"/>
      <c r="Q40" s="404" t="s">
        <v>126</v>
      </c>
      <c r="T40" s="270"/>
    </row>
    <row r="41" spans="7:20" ht="13.5">
      <c r="G41" s="395">
        <v>13</v>
      </c>
      <c r="H41" s="396" t="s">
        <v>96</v>
      </c>
      <c r="I41" s="397">
        <v>6</v>
      </c>
      <c r="J41" s="398">
        <v>22</v>
      </c>
      <c r="K41" s="399">
        <v>16.46</v>
      </c>
      <c r="L41" s="398">
        <v>100</v>
      </c>
      <c r="M41" s="400"/>
      <c r="N41" s="277" t="s">
        <v>125</v>
      </c>
      <c r="O41" s="401"/>
      <c r="P41" s="381"/>
      <c r="Q41" s="404" t="s">
        <v>126</v>
      </c>
      <c r="T41" s="270"/>
    </row>
    <row r="42" spans="7:17" ht="13.5">
      <c r="G42" s="395">
        <v>13.5</v>
      </c>
      <c r="H42" s="396" t="s">
        <v>96</v>
      </c>
      <c r="I42" s="397">
        <v>6</v>
      </c>
      <c r="J42" s="398">
        <v>22</v>
      </c>
      <c r="K42" s="399">
        <v>16.46</v>
      </c>
      <c r="L42" s="398">
        <v>100</v>
      </c>
      <c r="M42" s="400"/>
      <c r="N42" s="277" t="s">
        <v>125</v>
      </c>
      <c r="O42" s="401"/>
      <c r="P42" s="381"/>
      <c r="Q42" s="404" t="s">
        <v>126</v>
      </c>
    </row>
    <row r="43" spans="7:17" ht="13.5">
      <c r="G43" s="395">
        <v>14</v>
      </c>
      <c r="H43" s="396" t="s">
        <v>96</v>
      </c>
      <c r="I43" s="397">
        <v>6</v>
      </c>
      <c r="J43" s="398">
        <v>22</v>
      </c>
      <c r="K43" s="399">
        <v>16.46</v>
      </c>
      <c r="L43" s="398">
        <v>100</v>
      </c>
      <c r="M43" s="400"/>
      <c r="N43" s="277" t="s">
        <v>125</v>
      </c>
      <c r="O43" s="401"/>
      <c r="P43" s="381"/>
      <c r="Q43" s="404" t="s">
        <v>126</v>
      </c>
    </row>
    <row r="44" spans="7:17" ht="13.5">
      <c r="G44" s="395">
        <v>14.5</v>
      </c>
      <c r="H44" s="396" t="s">
        <v>96</v>
      </c>
      <c r="I44" s="397">
        <v>6</v>
      </c>
      <c r="J44" s="398">
        <v>43</v>
      </c>
      <c r="K44" s="399">
        <v>16.86</v>
      </c>
      <c r="L44" s="398">
        <v>100</v>
      </c>
      <c r="M44" s="400"/>
      <c r="N44" s="277" t="s">
        <v>125</v>
      </c>
      <c r="O44" s="401"/>
      <c r="P44" s="381"/>
      <c r="Q44" s="404" t="s">
        <v>126</v>
      </c>
    </row>
    <row r="45" spans="7:17" ht="13.5">
      <c r="G45" s="405">
        <v>15</v>
      </c>
      <c r="H45" s="406" t="s">
        <v>96</v>
      </c>
      <c r="I45" s="407">
        <v>6</v>
      </c>
      <c r="J45" s="408">
        <v>43</v>
      </c>
      <c r="K45" s="409">
        <v>16.86</v>
      </c>
      <c r="L45" s="408">
        <v>100</v>
      </c>
      <c r="M45" s="410"/>
      <c r="N45" s="411" t="s">
        <v>125</v>
      </c>
      <c r="O45" s="401"/>
      <c r="P45" s="381"/>
      <c r="Q45" s="404" t="s">
        <v>126</v>
      </c>
    </row>
    <row r="46" spans="7:17" ht="13.5">
      <c r="G46" s="395">
        <v>15.5</v>
      </c>
      <c r="H46" s="396" t="s">
        <v>96</v>
      </c>
      <c r="I46" s="397">
        <v>6</v>
      </c>
      <c r="J46" s="398">
        <v>43</v>
      </c>
      <c r="K46" s="399">
        <v>16.86</v>
      </c>
      <c r="L46" s="398">
        <v>100</v>
      </c>
      <c r="M46" s="400"/>
      <c r="N46" s="277" t="s">
        <v>125</v>
      </c>
      <c r="O46" s="401"/>
      <c r="P46" s="381"/>
      <c r="Q46" s="404" t="s">
        <v>126</v>
      </c>
    </row>
    <row r="47" spans="7:17" ht="13.5">
      <c r="G47" s="395">
        <v>16</v>
      </c>
      <c r="H47" s="396" t="s">
        <v>96</v>
      </c>
      <c r="I47" s="397">
        <v>6</v>
      </c>
      <c r="J47" s="398">
        <v>43</v>
      </c>
      <c r="K47" s="399">
        <v>16.86</v>
      </c>
      <c r="L47" s="398">
        <v>100</v>
      </c>
      <c r="M47" s="400"/>
      <c r="N47" s="277" t="s">
        <v>125</v>
      </c>
      <c r="O47" s="401"/>
      <c r="P47" s="381"/>
      <c r="Q47" s="404" t="s">
        <v>126</v>
      </c>
    </row>
    <row r="48" spans="7:17" ht="13.5">
      <c r="G48" s="395">
        <v>16.5</v>
      </c>
      <c r="H48" s="396" t="s">
        <v>96</v>
      </c>
      <c r="I48" s="397">
        <v>6</v>
      </c>
      <c r="J48" s="398">
        <v>43</v>
      </c>
      <c r="K48" s="399">
        <v>16.86</v>
      </c>
      <c r="L48" s="398">
        <v>100</v>
      </c>
      <c r="M48" s="400"/>
      <c r="N48" s="277" t="s">
        <v>125</v>
      </c>
      <c r="O48" s="401"/>
      <c r="P48" s="381"/>
      <c r="Q48" s="404" t="s">
        <v>126</v>
      </c>
    </row>
    <row r="49" spans="7:17" ht="13.5">
      <c r="G49" s="395">
        <v>17</v>
      </c>
      <c r="H49" s="396" t="s">
        <v>96</v>
      </c>
      <c r="I49" s="397">
        <v>6</v>
      </c>
      <c r="J49" s="398">
        <v>43</v>
      </c>
      <c r="K49" s="399">
        <v>16.86</v>
      </c>
      <c r="L49" s="398">
        <v>100</v>
      </c>
      <c r="M49" s="400"/>
      <c r="N49" s="277" t="s">
        <v>125</v>
      </c>
      <c r="O49" s="401"/>
      <c r="P49" s="381"/>
      <c r="Q49" s="404" t="s">
        <v>126</v>
      </c>
    </row>
    <row r="50" spans="7:17" ht="13.5">
      <c r="G50" s="395">
        <v>17.5</v>
      </c>
      <c r="H50" s="396"/>
      <c r="I50" s="397"/>
      <c r="J50" s="398"/>
      <c r="K50" s="399"/>
      <c r="L50" s="398"/>
      <c r="M50" s="400"/>
      <c r="N50" s="277" t="s">
        <v>125</v>
      </c>
      <c r="O50" s="401"/>
      <c r="P50" s="381"/>
      <c r="Q50" s="404" t="s">
        <v>125</v>
      </c>
    </row>
    <row r="51" spans="7:17" ht="13.5">
      <c r="G51" s="395">
        <v>18</v>
      </c>
      <c r="H51" s="396"/>
      <c r="I51" s="397"/>
      <c r="J51" s="398"/>
      <c r="K51" s="399"/>
      <c r="L51" s="398"/>
      <c r="M51" s="400"/>
      <c r="N51" s="277" t="s">
        <v>125</v>
      </c>
      <c r="O51" s="401"/>
      <c r="P51" s="381"/>
      <c r="Q51" s="404" t="s">
        <v>125</v>
      </c>
    </row>
    <row r="52" spans="7:17" ht="13.5">
      <c r="G52" s="395">
        <v>18.5</v>
      </c>
      <c r="H52" s="396"/>
      <c r="I52" s="397"/>
      <c r="J52" s="398"/>
      <c r="K52" s="399"/>
      <c r="L52" s="398"/>
      <c r="M52" s="400"/>
      <c r="N52" s="277" t="s">
        <v>125</v>
      </c>
      <c r="O52" s="401"/>
      <c r="P52" s="381"/>
      <c r="Q52" s="404" t="s">
        <v>125</v>
      </c>
    </row>
    <row r="53" spans="7:17" ht="13.5">
      <c r="G53" s="395">
        <v>19</v>
      </c>
      <c r="H53" s="396"/>
      <c r="I53" s="397"/>
      <c r="J53" s="398"/>
      <c r="K53" s="399"/>
      <c r="L53" s="398"/>
      <c r="M53" s="400"/>
      <c r="N53" s="277" t="s">
        <v>125</v>
      </c>
      <c r="O53" s="401"/>
      <c r="P53" s="381"/>
      <c r="Q53" s="404" t="s">
        <v>125</v>
      </c>
    </row>
    <row r="54" spans="7:17" ht="13.5">
      <c r="G54" s="395">
        <v>19.5</v>
      </c>
      <c r="H54" s="396"/>
      <c r="I54" s="397"/>
      <c r="J54" s="398"/>
      <c r="K54" s="399"/>
      <c r="L54" s="398"/>
      <c r="M54" s="400"/>
      <c r="N54" s="277" t="s">
        <v>125</v>
      </c>
      <c r="O54" s="401"/>
      <c r="P54" s="381"/>
      <c r="Q54" s="404" t="s">
        <v>125</v>
      </c>
    </row>
    <row r="55" spans="7:17" ht="14.25" thickBot="1">
      <c r="G55" s="412">
        <v>20</v>
      </c>
      <c r="H55" s="413"/>
      <c r="I55" s="414"/>
      <c r="J55" s="415"/>
      <c r="K55" s="416"/>
      <c r="L55" s="415"/>
      <c r="M55" s="417"/>
      <c r="N55" s="418" t="s">
        <v>125</v>
      </c>
      <c r="O55" s="401"/>
      <c r="P55" s="381"/>
      <c r="Q55" s="419" t="s">
        <v>125</v>
      </c>
    </row>
    <row r="56" spans="7:17" ht="13.5">
      <c r="G56" s="420"/>
      <c r="H56" s="420"/>
      <c r="I56" s="420"/>
      <c r="J56" s="421"/>
      <c r="K56" s="420"/>
      <c r="L56" s="421"/>
      <c r="M56" s="422"/>
      <c r="N56" s="420"/>
      <c r="O56" s="423"/>
      <c r="P56" s="381"/>
      <c r="Q56" s="384"/>
    </row>
    <row r="57" spans="7:17" ht="14.25" thickBot="1">
      <c r="G57" s="375"/>
      <c r="H57" s="375"/>
      <c r="I57" s="375"/>
      <c r="J57" s="424"/>
      <c r="K57" s="375"/>
      <c r="L57" s="424"/>
      <c r="M57" s="425"/>
      <c r="N57" s="375"/>
      <c r="O57" s="375"/>
      <c r="P57" s="375"/>
      <c r="Q57" s="376"/>
    </row>
    <row r="58" spans="7:17" ht="13.5">
      <c r="G58" s="420"/>
      <c r="H58" s="420"/>
      <c r="I58" s="420"/>
      <c r="J58" s="421"/>
      <c r="K58" s="420"/>
      <c r="L58" s="421"/>
      <c r="M58" s="422"/>
      <c r="N58" s="420"/>
      <c r="O58" s="420"/>
      <c r="P58" s="381"/>
      <c r="Q58" s="384"/>
    </row>
    <row r="59" spans="7:17" ht="13.5">
      <c r="G59" s="550">
        <v>1</v>
      </c>
      <c r="H59" s="550"/>
      <c r="I59" s="550"/>
      <c r="J59" s="550"/>
      <c r="K59" s="550"/>
      <c r="L59" s="550"/>
      <c r="M59" s="550"/>
      <c r="N59" s="550"/>
      <c r="O59" s="550"/>
      <c r="P59" s="550"/>
      <c r="Q59" s="550"/>
    </row>
    <row r="60" ht="13.5">
      <c r="M60" s="427"/>
    </row>
  </sheetData>
  <sheetProtection password="CA83" sheet="1" objects="1" scenarios="1" selectLockedCells="1" selectUnlockedCells="1"/>
  <mergeCells count="21">
    <mergeCell ref="G59:Q59"/>
    <mergeCell ref="G8:H8"/>
    <mergeCell ref="I8:J8"/>
    <mergeCell ref="N8:O8"/>
    <mergeCell ref="P8:Q8"/>
    <mergeCell ref="H12:H15"/>
    <mergeCell ref="G13:G14"/>
    <mergeCell ref="G6:H6"/>
    <mergeCell ref="I6:K6"/>
    <mergeCell ref="N6:O6"/>
    <mergeCell ref="P6:Q6"/>
    <mergeCell ref="G7:H7"/>
    <mergeCell ref="I7:J7"/>
    <mergeCell ref="N7:O7"/>
    <mergeCell ref="P7:Q7"/>
    <mergeCell ref="G2:Q2"/>
    <mergeCell ref="M4:M5"/>
    <mergeCell ref="N4:O5"/>
    <mergeCell ref="P4:Q5"/>
    <mergeCell ref="G5:H5"/>
    <mergeCell ref="I5:K5"/>
  </mergeCells>
  <dataValidations count="3">
    <dataValidation type="list" allowBlank="1" showInputMessage="1" showErrorMessage="1" sqref="H16:H55">
      <formula1>"表土,砂質土,粘性土,礫質土"</formula1>
    </dataValidation>
    <dataValidation type="decimal" operator="greaterThanOrEqual" allowBlank="1" showInputMessage="1" showErrorMessage="1" sqref="I8:J8">
      <formula1>I7</formula1>
    </dataValidation>
    <dataValidation type="decimal" operator="greaterThanOrEqual" allowBlank="1" showInputMessage="1" showErrorMessage="1" sqref="I7:J7">
      <formula1>0</formula1>
    </dataValidation>
  </dataValidations>
  <printOptions horizontalCentered="1"/>
  <pageMargins left="0.7086614173228347" right="0.7086614173228347" top="0.9448818897637796" bottom="0.7480314960629921" header="0.31496062992125984" footer="0.31496062992125984"/>
  <pageSetup fitToHeight="1" fitToWidth="1" horizontalDpi="600" verticalDpi="600" orientation="landscape" paperSize="8" scale="97" r:id="rId2"/>
  <drawing r:id="rId1"/>
</worksheet>
</file>

<file path=xl/worksheets/sheet7.xml><?xml version="1.0" encoding="utf-8"?>
<worksheet xmlns="http://schemas.openxmlformats.org/spreadsheetml/2006/main" xmlns:r="http://schemas.openxmlformats.org/officeDocument/2006/relationships">
  <sheetPr codeName="Sheet7"/>
  <dimension ref="B1:AC58"/>
  <sheetViews>
    <sheetView zoomScale="85" zoomScaleNormal="85" zoomScalePageLayoutView="0" workbookViewId="0" topLeftCell="A4">
      <selection activeCell="A4" sqref="A4"/>
    </sheetView>
  </sheetViews>
  <sheetFormatPr defaultColWidth="9.140625" defaultRowHeight="15"/>
  <cols>
    <col min="1" max="1" width="3.421875" style="183" customWidth="1"/>
    <col min="2" max="2" width="7.28125" style="183" customWidth="1"/>
    <col min="3" max="8" width="7.140625" style="183" customWidth="1"/>
    <col min="9" max="9" width="8.57421875" style="189" customWidth="1"/>
    <col min="10" max="12" width="9.00390625" style="183" customWidth="1"/>
    <col min="13" max="13" width="7.421875" style="186" customWidth="1"/>
    <col min="14" max="14" width="8.140625" style="186" customWidth="1"/>
    <col min="15" max="25" width="7.421875" style="186" customWidth="1"/>
    <col min="26" max="27" width="8.28125" style="187" customWidth="1"/>
    <col min="28" max="16384" width="9.00390625" style="183" customWidth="1"/>
  </cols>
  <sheetData>
    <row r="1" spans="2:9" ht="14.25" thickBot="1">
      <c r="B1" s="184"/>
      <c r="C1" s="184"/>
      <c r="D1" s="184"/>
      <c r="E1" s="184"/>
      <c r="F1" s="184"/>
      <c r="G1" s="184"/>
      <c r="H1" s="184"/>
      <c r="I1" s="185"/>
    </row>
    <row r="2" spans="2:27" ht="14.25" customHeight="1" thickBot="1">
      <c r="B2" s="648" t="s">
        <v>91</v>
      </c>
      <c r="C2" s="648"/>
      <c r="D2" s="648"/>
      <c r="E2" s="648"/>
      <c r="F2" s="648"/>
      <c r="G2" s="648"/>
      <c r="H2" s="648"/>
      <c r="I2" s="648"/>
      <c r="J2" s="648"/>
      <c r="K2" s="648"/>
      <c r="L2" s="648"/>
      <c r="M2" s="648"/>
      <c r="N2" s="648"/>
      <c r="O2" s="648"/>
      <c r="P2" s="648"/>
      <c r="Q2" s="648"/>
      <c r="R2" s="648"/>
      <c r="S2" s="648"/>
      <c r="T2" s="648"/>
      <c r="U2" s="648"/>
      <c r="V2" s="648"/>
      <c r="W2" s="648"/>
      <c r="X2" s="648"/>
      <c r="Z2" s="649" t="s">
        <v>90</v>
      </c>
      <c r="AA2" s="649"/>
    </row>
    <row r="3" ht="14.25">
      <c r="I3" s="9"/>
    </row>
    <row r="4" spans="2:29" ht="14.25" customHeight="1" thickBot="1">
      <c r="B4" s="650" t="s">
        <v>135</v>
      </c>
      <c r="C4" s="650"/>
      <c r="D4" s="651" t="s">
        <v>150</v>
      </c>
      <c r="E4" s="651"/>
      <c r="F4" s="651"/>
      <c r="G4" s="188"/>
      <c r="H4" s="188"/>
      <c r="AC4" s="187"/>
    </row>
    <row r="5" spans="2:29" ht="14.25" customHeight="1" thickBot="1" thickTop="1">
      <c r="B5" s="652" t="s">
        <v>136</v>
      </c>
      <c r="C5" s="652"/>
      <c r="D5" s="653" t="s">
        <v>137</v>
      </c>
      <c r="E5" s="653"/>
      <c r="F5" s="653"/>
      <c r="G5" s="188"/>
      <c r="H5" s="188"/>
      <c r="I5" s="190"/>
      <c r="J5" s="654" t="s">
        <v>98</v>
      </c>
      <c r="K5" s="655"/>
      <c r="L5" s="656"/>
      <c r="AC5" s="187"/>
    </row>
    <row r="6" spans="2:29" ht="14.25" customHeight="1" thickBot="1" thickTop="1">
      <c r="B6" s="657" t="s">
        <v>201</v>
      </c>
      <c r="C6" s="658"/>
      <c r="D6" s="659">
        <v>1</v>
      </c>
      <c r="E6" s="659"/>
      <c r="F6" s="191" t="s">
        <v>177</v>
      </c>
      <c r="G6" s="188"/>
      <c r="H6" s="188"/>
      <c r="J6" s="193" t="s">
        <v>160</v>
      </c>
      <c r="K6" s="194">
        <v>3</v>
      </c>
      <c r="L6" s="195" t="s">
        <v>178</v>
      </c>
      <c r="AC6" s="187"/>
    </row>
    <row r="7" spans="2:29" ht="15" customHeight="1" thickBot="1" thickTop="1">
      <c r="B7" s="660" t="s">
        <v>138</v>
      </c>
      <c r="C7" s="661"/>
      <c r="D7" s="662">
        <v>3</v>
      </c>
      <c r="E7" s="662"/>
      <c r="F7" s="192" t="s">
        <v>177</v>
      </c>
      <c r="G7" s="14"/>
      <c r="H7" s="14"/>
      <c r="J7" s="314" t="s">
        <v>100</v>
      </c>
      <c r="K7" s="315">
        <v>8</v>
      </c>
      <c r="L7" s="316" t="s">
        <v>178</v>
      </c>
      <c r="AC7" s="187"/>
    </row>
    <row r="8" spans="2:29" ht="12" customHeight="1" thickTop="1">
      <c r="B8" s="663" t="s">
        <v>64</v>
      </c>
      <c r="C8" s="663"/>
      <c r="D8" s="575">
        <v>1</v>
      </c>
      <c r="E8" s="575"/>
      <c r="F8" s="196" t="s">
        <v>177</v>
      </c>
      <c r="G8" s="14"/>
      <c r="H8" s="14"/>
      <c r="I8" s="197"/>
      <c r="AC8" s="187"/>
    </row>
    <row r="9" spans="2:14" ht="12" customHeight="1">
      <c r="B9" s="198"/>
      <c r="C9" s="198"/>
      <c r="D9" s="188"/>
      <c r="E9" s="188"/>
      <c r="F9" s="199"/>
      <c r="G9" s="14"/>
      <c r="H9" s="14"/>
      <c r="I9" s="197"/>
      <c r="J9" s="268"/>
      <c r="K9" s="269" t="s">
        <v>162</v>
      </c>
      <c r="L9" s="14"/>
      <c r="M9" s="183"/>
      <c r="N9" s="190"/>
    </row>
    <row r="10" spans="2:9" ht="12" customHeight="1" thickBot="1">
      <c r="B10" s="200"/>
      <c r="C10" s="200"/>
      <c r="D10" s="188"/>
      <c r="E10" s="188"/>
      <c r="F10" s="201"/>
      <c r="G10" s="14"/>
      <c r="H10" s="14"/>
      <c r="I10" s="197"/>
    </row>
    <row r="11" spans="2:27" ht="13.5" customHeight="1">
      <c r="B11" s="568" t="s">
        <v>63</v>
      </c>
      <c r="C11" s="577" t="s">
        <v>4</v>
      </c>
      <c r="D11" s="60"/>
      <c r="E11" s="60"/>
      <c r="F11" s="60"/>
      <c r="G11" s="60"/>
      <c r="H11" s="60"/>
      <c r="I11" s="60" t="s">
        <v>34</v>
      </c>
      <c r="J11" s="60" t="s">
        <v>34</v>
      </c>
      <c r="K11" s="202"/>
      <c r="L11" s="97" t="s">
        <v>160</v>
      </c>
      <c r="M11" s="183"/>
      <c r="N11" s="664" t="s">
        <v>120</v>
      </c>
      <c r="O11" s="665"/>
      <c r="P11" s="665"/>
      <c r="Q11" s="665"/>
      <c r="R11" s="665"/>
      <c r="S11" s="665"/>
      <c r="T11" s="665"/>
      <c r="U11" s="665"/>
      <c r="V11" s="665"/>
      <c r="W11" s="665"/>
      <c r="X11" s="666"/>
      <c r="Y11" s="183"/>
      <c r="Z11" s="104" t="s">
        <v>47</v>
      </c>
      <c r="AA11" s="140" t="s">
        <v>88</v>
      </c>
    </row>
    <row r="12" spans="2:27" ht="12" customHeight="1">
      <c r="B12" s="569"/>
      <c r="C12" s="578"/>
      <c r="D12" s="65"/>
      <c r="E12" s="66" t="s">
        <v>35</v>
      </c>
      <c r="F12" s="65" t="s">
        <v>40</v>
      </c>
      <c r="G12" s="65"/>
      <c r="H12" s="65" t="s">
        <v>104</v>
      </c>
      <c r="I12" s="65" t="s">
        <v>105</v>
      </c>
      <c r="J12" s="65" t="s">
        <v>106</v>
      </c>
      <c r="K12" s="203" t="s">
        <v>107</v>
      </c>
      <c r="L12" s="98" t="s">
        <v>179</v>
      </c>
      <c r="M12" s="183"/>
      <c r="N12" s="667"/>
      <c r="O12" s="668"/>
      <c r="P12" s="668"/>
      <c r="Q12" s="668"/>
      <c r="R12" s="668"/>
      <c r="S12" s="668"/>
      <c r="T12" s="668"/>
      <c r="U12" s="668"/>
      <c r="V12" s="668"/>
      <c r="W12" s="668"/>
      <c r="X12" s="669"/>
      <c r="Y12" s="183"/>
      <c r="Z12" s="105" t="s">
        <v>70</v>
      </c>
      <c r="AA12" s="141" t="s">
        <v>70</v>
      </c>
    </row>
    <row r="13" spans="2:27" ht="12" customHeight="1">
      <c r="B13" s="569"/>
      <c r="C13" s="578"/>
      <c r="D13" s="65" t="s">
        <v>39</v>
      </c>
      <c r="E13" s="66" t="s">
        <v>36</v>
      </c>
      <c r="F13" s="65" t="s">
        <v>41</v>
      </c>
      <c r="G13" s="65" t="s">
        <v>42</v>
      </c>
      <c r="H13" s="65" t="s">
        <v>109</v>
      </c>
      <c r="I13" s="65" t="s">
        <v>9</v>
      </c>
      <c r="J13" s="65" t="s">
        <v>9</v>
      </c>
      <c r="K13" s="203" t="s">
        <v>98</v>
      </c>
      <c r="L13" s="98" t="s">
        <v>98</v>
      </c>
      <c r="M13" s="183"/>
      <c r="N13" s="264" t="s">
        <v>121</v>
      </c>
      <c r="O13" s="670">
        <v>1</v>
      </c>
      <c r="P13" s="671"/>
      <c r="Q13" s="670">
        <v>2</v>
      </c>
      <c r="R13" s="671"/>
      <c r="S13" s="670">
        <v>3</v>
      </c>
      <c r="T13" s="671"/>
      <c r="U13" s="670">
        <v>4</v>
      </c>
      <c r="V13" s="671"/>
      <c r="W13" s="670">
        <v>5</v>
      </c>
      <c r="X13" s="672"/>
      <c r="Y13" s="183"/>
      <c r="Z13" s="106" t="s">
        <v>8</v>
      </c>
      <c r="AA13" s="142" t="s">
        <v>8</v>
      </c>
    </row>
    <row r="14" spans="2:27" ht="13.5">
      <c r="B14" s="570"/>
      <c r="C14" s="579"/>
      <c r="D14" s="79" t="s">
        <v>180</v>
      </c>
      <c r="E14" s="80" t="s">
        <v>181</v>
      </c>
      <c r="F14" s="79" t="s">
        <v>182</v>
      </c>
      <c r="G14" s="79" t="s">
        <v>183</v>
      </c>
      <c r="H14" s="79"/>
      <c r="I14" s="82" t="s">
        <v>184</v>
      </c>
      <c r="J14" s="82" t="s">
        <v>3</v>
      </c>
      <c r="K14" s="207" t="s">
        <v>185</v>
      </c>
      <c r="L14" s="99" t="s">
        <v>186</v>
      </c>
      <c r="M14" s="183"/>
      <c r="N14" s="263"/>
      <c r="O14" s="204" t="s">
        <v>187</v>
      </c>
      <c r="P14" s="205" t="s">
        <v>188</v>
      </c>
      <c r="Q14" s="204" t="s">
        <v>187</v>
      </c>
      <c r="R14" s="205" t="s">
        <v>188</v>
      </c>
      <c r="S14" s="204" t="s">
        <v>187</v>
      </c>
      <c r="T14" s="205" t="s">
        <v>188</v>
      </c>
      <c r="U14" s="204" t="s">
        <v>187</v>
      </c>
      <c r="V14" s="205" t="s">
        <v>188</v>
      </c>
      <c r="W14" s="204" t="s">
        <v>187</v>
      </c>
      <c r="X14" s="206" t="s">
        <v>188</v>
      </c>
      <c r="Y14" s="183"/>
      <c r="Z14" s="107" t="s">
        <v>189</v>
      </c>
      <c r="AA14" s="143" t="s">
        <v>190</v>
      </c>
    </row>
    <row r="15" spans="2:27" ht="13.5">
      <c r="B15" s="265">
        <v>2</v>
      </c>
      <c r="C15" s="212" t="s">
        <v>117</v>
      </c>
      <c r="D15" s="271">
        <v>2</v>
      </c>
      <c r="E15" s="213">
        <v>16</v>
      </c>
      <c r="F15" s="213">
        <v>0.69</v>
      </c>
      <c r="G15" s="212">
        <v>0</v>
      </c>
      <c r="H15" s="307"/>
      <c r="I15" s="214">
        <v>16</v>
      </c>
      <c r="J15" s="214">
        <v>16</v>
      </c>
      <c r="K15" s="215">
        <v>0</v>
      </c>
      <c r="L15" s="216">
        <v>0</v>
      </c>
      <c r="M15" s="183"/>
      <c r="N15" s="208">
        <v>1</v>
      </c>
      <c r="O15" s="209">
        <v>0</v>
      </c>
      <c r="P15" s="210">
        <v>1.528</v>
      </c>
      <c r="Q15" s="209">
        <v>0</v>
      </c>
      <c r="R15" s="210">
        <v>1.528</v>
      </c>
      <c r="S15" s="209"/>
      <c r="T15" s="210"/>
      <c r="U15" s="209"/>
      <c r="V15" s="210"/>
      <c r="W15" s="209"/>
      <c r="X15" s="211"/>
      <c r="Y15" s="183"/>
      <c r="Z15" s="221">
        <v>32</v>
      </c>
      <c r="AA15" s="222">
        <v>16</v>
      </c>
    </row>
    <row r="16" spans="2:27" ht="13.5">
      <c r="B16" s="265">
        <v>4</v>
      </c>
      <c r="C16" s="212" t="s">
        <v>96</v>
      </c>
      <c r="D16" s="271">
        <v>2</v>
      </c>
      <c r="E16" s="213">
        <v>16.3</v>
      </c>
      <c r="F16" s="213">
        <v>1.67</v>
      </c>
      <c r="G16" s="212">
        <v>0</v>
      </c>
      <c r="H16" s="307"/>
      <c r="I16" s="214">
        <v>28.699999999999996</v>
      </c>
      <c r="J16" s="214">
        <v>48.3</v>
      </c>
      <c r="K16" s="215">
        <v>0</v>
      </c>
      <c r="L16" s="223">
        <v>0</v>
      </c>
      <c r="M16" s="183"/>
      <c r="N16" s="217">
        <v>2</v>
      </c>
      <c r="O16" s="218">
        <v>9.8</v>
      </c>
      <c r="P16" s="219">
        <v>1.513</v>
      </c>
      <c r="Q16" s="218">
        <v>19.61</v>
      </c>
      <c r="R16" s="219">
        <v>1.494</v>
      </c>
      <c r="S16" s="218"/>
      <c r="T16" s="219"/>
      <c r="U16" s="218"/>
      <c r="V16" s="219"/>
      <c r="W16" s="218"/>
      <c r="X16" s="220"/>
      <c r="Y16" s="183"/>
      <c r="Z16" s="221">
        <v>64.6</v>
      </c>
      <c r="AA16" s="222">
        <v>48.3</v>
      </c>
    </row>
    <row r="17" spans="2:27" ht="13.5">
      <c r="B17" s="265">
        <v>6</v>
      </c>
      <c r="C17" s="212" t="s">
        <v>96</v>
      </c>
      <c r="D17" s="271">
        <v>2</v>
      </c>
      <c r="E17" s="213">
        <v>16.3</v>
      </c>
      <c r="F17" s="213">
        <v>1.06</v>
      </c>
      <c r="G17" s="212">
        <v>0</v>
      </c>
      <c r="H17" s="307"/>
      <c r="I17" s="214">
        <v>41.69999999999999</v>
      </c>
      <c r="J17" s="215">
        <v>61.29999999999999</v>
      </c>
      <c r="K17" s="215">
        <v>0</v>
      </c>
      <c r="L17" s="223">
        <v>0</v>
      </c>
      <c r="M17" s="183"/>
      <c r="N17" s="217">
        <v>3</v>
      </c>
      <c r="O17" s="218">
        <v>19.61</v>
      </c>
      <c r="P17" s="219">
        <v>1.494</v>
      </c>
      <c r="Q17" s="218">
        <v>39.22</v>
      </c>
      <c r="R17" s="219">
        <v>1.46</v>
      </c>
      <c r="S17" s="218"/>
      <c r="T17" s="219"/>
      <c r="U17" s="218"/>
      <c r="V17" s="219"/>
      <c r="W17" s="218"/>
      <c r="X17" s="220"/>
      <c r="Y17" s="183"/>
      <c r="Z17" s="221">
        <v>97.19999999999999</v>
      </c>
      <c r="AA17" s="222">
        <v>80.89999999999999</v>
      </c>
    </row>
    <row r="18" spans="2:27" ht="13.5">
      <c r="B18" s="265">
        <v>9</v>
      </c>
      <c r="C18" s="212" t="s">
        <v>156</v>
      </c>
      <c r="D18" s="271">
        <v>3</v>
      </c>
      <c r="E18" s="213">
        <v>16.7</v>
      </c>
      <c r="F18" s="213">
        <v>1.06</v>
      </c>
      <c r="G18" s="212">
        <v>0.46</v>
      </c>
      <c r="H18" s="307">
        <v>1</v>
      </c>
      <c r="I18" s="214">
        <v>58.54999999999998</v>
      </c>
      <c r="J18" s="215">
        <v>78.14999999999998</v>
      </c>
      <c r="K18" s="215">
        <v>8.40072206148625</v>
      </c>
      <c r="L18" s="223">
        <v>3.2073059597337013</v>
      </c>
      <c r="M18" s="183"/>
      <c r="N18" s="217">
        <v>4</v>
      </c>
      <c r="O18" s="218">
        <v>39.22</v>
      </c>
      <c r="P18" s="219">
        <v>1.46</v>
      </c>
      <c r="Q18" s="218">
        <v>74.43</v>
      </c>
      <c r="R18" s="219">
        <v>1.408</v>
      </c>
      <c r="S18" s="218"/>
      <c r="T18" s="219"/>
      <c r="U18" s="218"/>
      <c r="V18" s="219"/>
      <c r="W18" s="218"/>
      <c r="X18" s="220"/>
      <c r="Y18" s="183"/>
      <c r="Z18" s="221">
        <v>147.29999999999998</v>
      </c>
      <c r="AA18" s="222">
        <v>122.24999999999999</v>
      </c>
    </row>
    <row r="19" spans="2:27" ht="13.5">
      <c r="B19" s="265">
        <v>11</v>
      </c>
      <c r="C19" s="212" t="s">
        <v>96</v>
      </c>
      <c r="D19" s="271">
        <v>2</v>
      </c>
      <c r="E19" s="213">
        <v>17.1</v>
      </c>
      <c r="F19" s="213">
        <v>0.94</v>
      </c>
      <c r="G19" s="212">
        <v>0</v>
      </c>
      <c r="H19" s="307"/>
      <c r="I19" s="224">
        <v>76.2</v>
      </c>
      <c r="J19" s="225">
        <v>95.8</v>
      </c>
      <c r="K19" s="225">
        <v>0</v>
      </c>
      <c r="L19" s="226">
        <v>0</v>
      </c>
      <c r="M19" s="183"/>
      <c r="N19" s="217">
        <v>5</v>
      </c>
      <c r="O19" s="218">
        <v>74.43</v>
      </c>
      <c r="P19" s="219">
        <v>1.408</v>
      </c>
      <c r="Q19" s="218">
        <v>156.9</v>
      </c>
      <c r="R19" s="219">
        <v>1.309</v>
      </c>
      <c r="S19" s="218"/>
      <c r="T19" s="219"/>
      <c r="U19" s="218"/>
      <c r="V19" s="219"/>
      <c r="W19" s="218"/>
      <c r="X19" s="220"/>
      <c r="Y19" s="183"/>
      <c r="Z19" s="221">
        <v>181.5</v>
      </c>
      <c r="AA19" s="222">
        <v>164.4</v>
      </c>
    </row>
    <row r="20" spans="2:27" ht="13.5">
      <c r="B20" s="265">
        <v>14</v>
      </c>
      <c r="C20" s="212" t="s">
        <v>96</v>
      </c>
      <c r="D20" s="271">
        <v>3</v>
      </c>
      <c r="E20" s="213">
        <v>16.8</v>
      </c>
      <c r="F20" s="213">
        <v>1.5</v>
      </c>
      <c r="G20" s="212">
        <v>0</v>
      </c>
      <c r="H20" s="307"/>
      <c r="I20" s="224">
        <v>93.99999999999999</v>
      </c>
      <c r="J20" s="225">
        <v>113.59999999999998</v>
      </c>
      <c r="K20" s="225">
        <v>0</v>
      </c>
      <c r="L20" s="226">
        <v>0</v>
      </c>
      <c r="M20" s="183"/>
      <c r="N20" s="217">
        <v>6</v>
      </c>
      <c r="O20" s="218">
        <v>156.9</v>
      </c>
      <c r="P20" s="219">
        <v>1.309</v>
      </c>
      <c r="Q20" s="218">
        <v>313.7</v>
      </c>
      <c r="R20" s="219">
        <v>1.171</v>
      </c>
      <c r="S20" s="218"/>
      <c r="T20" s="219"/>
      <c r="U20" s="218"/>
      <c r="V20" s="219"/>
      <c r="W20" s="218"/>
      <c r="X20" s="220"/>
      <c r="Y20" s="183"/>
      <c r="Z20" s="221">
        <v>231.9</v>
      </c>
      <c r="AA20" s="222">
        <v>206.7</v>
      </c>
    </row>
    <row r="21" spans="2:27" ht="13.5">
      <c r="B21" s="265">
        <v>17</v>
      </c>
      <c r="C21" s="212" t="s">
        <v>96</v>
      </c>
      <c r="D21" s="271">
        <v>3</v>
      </c>
      <c r="E21" s="213">
        <v>17.2</v>
      </c>
      <c r="F21" s="213">
        <v>0.93</v>
      </c>
      <c r="G21" s="212">
        <v>0</v>
      </c>
      <c r="H21" s="307"/>
      <c r="I21" s="214">
        <v>115.59999999999997</v>
      </c>
      <c r="J21" s="215">
        <v>135.2</v>
      </c>
      <c r="K21" s="215">
        <v>0</v>
      </c>
      <c r="L21" s="223">
        <v>0</v>
      </c>
      <c r="M21" s="183"/>
      <c r="N21" s="217">
        <v>7</v>
      </c>
      <c r="O21" s="218">
        <v>313.7</v>
      </c>
      <c r="P21" s="219">
        <v>1.171</v>
      </c>
      <c r="Q21" s="218">
        <v>627.5</v>
      </c>
      <c r="R21" s="219">
        <v>1.038</v>
      </c>
      <c r="S21" s="218"/>
      <c r="T21" s="219"/>
      <c r="U21" s="218"/>
      <c r="V21" s="219"/>
      <c r="W21" s="218"/>
      <c r="X21" s="220"/>
      <c r="Y21" s="183"/>
      <c r="Z21" s="221">
        <v>283.5</v>
      </c>
      <c r="AA21" s="222">
        <v>257.7</v>
      </c>
    </row>
    <row r="22" spans="2:27" ht="13.5">
      <c r="B22" s="265">
        <v>32</v>
      </c>
      <c r="C22" s="212" t="s">
        <v>96</v>
      </c>
      <c r="D22" s="271">
        <v>15</v>
      </c>
      <c r="E22" s="213">
        <v>17.6</v>
      </c>
      <c r="F22" s="213">
        <v>1.01</v>
      </c>
      <c r="G22" s="212">
        <v>0</v>
      </c>
      <c r="H22" s="307"/>
      <c r="I22" s="214">
        <v>185.2</v>
      </c>
      <c r="J22" s="215">
        <v>204.79999999999998</v>
      </c>
      <c r="K22" s="215">
        <v>0</v>
      </c>
      <c r="L22" s="223">
        <v>0</v>
      </c>
      <c r="M22" s="183"/>
      <c r="N22" s="217">
        <v>8</v>
      </c>
      <c r="O22" s="218">
        <v>627.5</v>
      </c>
      <c r="P22" s="219">
        <v>1.038</v>
      </c>
      <c r="Q22" s="218">
        <v>1255</v>
      </c>
      <c r="R22" s="219">
        <v>0.907</v>
      </c>
      <c r="S22" s="218"/>
      <c r="T22" s="219"/>
      <c r="U22" s="218"/>
      <c r="V22" s="219"/>
      <c r="W22" s="218"/>
      <c r="X22" s="220"/>
      <c r="Y22" s="183"/>
      <c r="Z22" s="221">
        <v>547.5</v>
      </c>
      <c r="AA22" s="222">
        <v>415.5</v>
      </c>
    </row>
    <row r="23" spans="2:27" ht="13.5">
      <c r="B23" s="265">
        <v>47</v>
      </c>
      <c r="C23" s="212" t="s">
        <v>142</v>
      </c>
      <c r="D23" s="271">
        <v>15</v>
      </c>
      <c r="E23" s="213">
        <v>17.6</v>
      </c>
      <c r="F23" s="213">
        <v>1.01</v>
      </c>
      <c r="G23" s="212">
        <v>0</v>
      </c>
      <c r="H23" s="307"/>
      <c r="I23" s="214">
        <v>302.2</v>
      </c>
      <c r="J23" s="215">
        <v>321.79999999999995</v>
      </c>
      <c r="K23" s="215">
        <v>0</v>
      </c>
      <c r="L23" s="223">
        <v>0</v>
      </c>
      <c r="M23" s="183"/>
      <c r="N23" s="217">
        <v>9</v>
      </c>
      <c r="O23" s="218">
        <v>1255</v>
      </c>
      <c r="P23" s="219">
        <v>0.907</v>
      </c>
      <c r="Q23" s="218"/>
      <c r="R23" s="219"/>
      <c r="S23" s="218"/>
      <c r="T23" s="219"/>
      <c r="U23" s="218"/>
      <c r="V23" s="219"/>
      <c r="W23" s="218"/>
      <c r="X23" s="220"/>
      <c r="Y23" s="183"/>
      <c r="Z23" s="221">
        <v>811.5</v>
      </c>
      <c r="AA23" s="222">
        <v>679.5</v>
      </c>
    </row>
    <row r="24" spans="2:27" ht="14.25" thickBot="1">
      <c r="B24" s="265"/>
      <c r="C24" s="212"/>
      <c r="D24" s="271"/>
      <c r="E24" s="213"/>
      <c r="F24" s="213"/>
      <c r="G24" s="305"/>
      <c r="H24" s="307"/>
      <c r="I24" s="214" t="s">
        <v>125</v>
      </c>
      <c r="J24" s="215" t="s">
        <v>125</v>
      </c>
      <c r="K24" s="215" t="s">
        <v>125</v>
      </c>
      <c r="L24" s="223" t="s">
        <v>125</v>
      </c>
      <c r="M24" s="183"/>
      <c r="N24" s="227">
        <v>10</v>
      </c>
      <c r="O24" s="228">
        <v>9.8</v>
      </c>
      <c r="P24" s="229">
        <v>0.987</v>
      </c>
      <c r="Q24" s="228"/>
      <c r="R24" s="229"/>
      <c r="S24" s="228"/>
      <c r="T24" s="229"/>
      <c r="U24" s="228"/>
      <c r="V24" s="229"/>
      <c r="W24" s="228"/>
      <c r="X24" s="230"/>
      <c r="Y24" s="183"/>
      <c r="Z24" s="221" t="s">
        <v>125</v>
      </c>
      <c r="AA24" s="222" t="s">
        <v>125</v>
      </c>
    </row>
    <row r="25" spans="2:27" ht="13.5">
      <c r="B25" s="265"/>
      <c r="C25" s="212"/>
      <c r="D25" s="271" t="s">
        <v>125</v>
      </c>
      <c r="E25" s="213"/>
      <c r="F25" s="213"/>
      <c r="G25" s="305"/>
      <c r="H25" s="307"/>
      <c r="I25" s="214" t="s">
        <v>125</v>
      </c>
      <c r="J25" s="215" t="s">
        <v>125</v>
      </c>
      <c r="K25" s="215" t="s">
        <v>125</v>
      </c>
      <c r="L25" s="223" t="s">
        <v>125</v>
      </c>
      <c r="M25" s="183"/>
      <c r="N25" s="183"/>
      <c r="O25" s="183"/>
      <c r="P25" s="183"/>
      <c r="Q25" s="183"/>
      <c r="R25" s="183"/>
      <c r="S25" s="183"/>
      <c r="T25" s="183"/>
      <c r="U25" s="183"/>
      <c r="V25" s="183"/>
      <c r="W25" s="183"/>
      <c r="X25" s="183"/>
      <c r="Y25" s="183"/>
      <c r="Z25" s="221" t="s">
        <v>125</v>
      </c>
      <c r="AA25" s="222" t="s">
        <v>125</v>
      </c>
    </row>
    <row r="26" spans="2:27" ht="13.5">
      <c r="B26" s="265"/>
      <c r="C26" s="212"/>
      <c r="D26" s="271" t="s">
        <v>125</v>
      </c>
      <c r="E26" s="213"/>
      <c r="F26" s="213"/>
      <c r="G26" s="305"/>
      <c r="H26" s="307"/>
      <c r="I26" s="214" t="s">
        <v>125</v>
      </c>
      <c r="J26" s="215" t="s">
        <v>125</v>
      </c>
      <c r="K26" s="215" t="s">
        <v>125</v>
      </c>
      <c r="L26" s="223" t="s">
        <v>125</v>
      </c>
      <c r="M26" s="183"/>
      <c r="O26" s="183"/>
      <c r="P26" s="183"/>
      <c r="Q26" s="183"/>
      <c r="R26" s="183"/>
      <c r="S26" s="183"/>
      <c r="U26" s="231" t="s">
        <v>123</v>
      </c>
      <c r="V26" s="183"/>
      <c r="W26" s="183"/>
      <c r="X26" s="183"/>
      <c r="Y26" s="183"/>
      <c r="Z26" s="221" t="s">
        <v>125</v>
      </c>
      <c r="AA26" s="222" t="s">
        <v>125</v>
      </c>
    </row>
    <row r="27" spans="2:27" ht="13.5">
      <c r="B27" s="265"/>
      <c r="C27" s="212"/>
      <c r="D27" s="271" t="s">
        <v>125</v>
      </c>
      <c r="E27" s="213"/>
      <c r="F27" s="213"/>
      <c r="G27" s="305"/>
      <c r="H27" s="307"/>
      <c r="I27" s="214" t="s">
        <v>125</v>
      </c>
      <c r="J27" s="215" t="s">
        <v>125</v>
      </c>
      <c r="K27" s="215" t="s">
        <v>125</v>
      </c>
      <c r="L27" s="223" t="s">
        <v>125</v>
      </c>
      <c r="M27" s="183"/>
      <c r="O27" s="183"/>
      <c r="P27" s="183"/>
      <c r="Q27" s="183"/>
      <c r="R27" s="183"/>
      <c r="S27" s="183"/>
      <c r="U27" s="231" t="s">
        <v>124</v>
      </c>
      <c r="V27" s="183"/>
      <c r="W27" s="183"/>
      <c r="X27" s="183"/>
      <c r="Y27" s="183"/>
      <c r="Z27" s="221" t="s">
        <v>125</v>
      </c>
      <c r="AA27" s="222" t="s">
        <v>125</v>
      </c>
    </row>
    <row r="28" spans="2:27" ht="13.5">
      <c r="B28" s="265"/>
      <c r="C28" s="212"/>
      <c r="D28" s="271" t="s">
        <v>125</v>
      </c>
      <c r="E28" s="213"/>
      <c r="F28" s="213"/>
      <c r="G28" s="305"/>
      <c r="H28" s="307"/>
      <c r="I28" s="214" t="s">
        <v>125</v>
      </c>
      <c r="J28" s="215" t="s">
        <v>125</v>
      </c>
      <c r="K28" s="215" t="s">
        <v>125</v>
      </c>
      <c r="L28" s="223" t="s">
        <v>125</v>
      </c>
      <c r="M28" s="183"/>
      <c r="N28" s="183"/>
      <c r="O28" s="183"/>
      <c r="P28" s="183"/>
      <c r="Q28" s="183"/>
      <c r="R28" s="183"/>
      <c r="S28" s="183"/>
      <c r="T28" s="183"/>
      <c r="U28" s="183"/>
      <c r="V28" s="183"/>
      <c r="W28" s="183"/>
      <c r="X28" s="183"/>
      <c r="Y28" s="183"/>
      <c r="Z28" s="221" t="s">
        <v>125</v>
      </c>
      <c r="AA28" s="222" t="s">
        <v>125</v>
      </c>
    </row>
    <row r="29" spans="2:27" ht="13.5">
      <c r="B29" s="265"/>
      <c r="C29" s="212"/>
      <c r="D29" s="271" t="s">
        <v>125</v>
      </c>
      <c r="E29" s="213"/>
      <c r="F29" s="213"/>
      <c r="G29" s="305"/>
      <c r="H29" s="307"/>
      <c r="I29" s="214" t="s">
        <v>125</v>
      </c>
      <c r="J29" s="215" t="s">
        <v>125</v>
      </c>
      <c r="K29" s="215" t="s">
        <v>125</v>
      </c>
      <c r="L29" s="223" t="s">
        <v>125</v>
      </c>
      <c r="M29" s="183"/>
      <c r="N29" s="183"/>
      <c r="O29" s="183"/>
      <c r="P29" s="183"/>
      <c r="Q29" s="183"/>
      <c r="R29" s="183"/>
      <c r="S29" s="183"/>
      <c r="T29" s="183"/>
      <c r="U29" s="183"/>
      <c r="V29" s="183"/>
      <c r="W29" s="183"/>
      <c r="X29" s="183"/>
      <c r="Y29" s="183"/>
      <c r="Z29" s="221" t="s">
        <v>125</v>
      </c>
      <c r="AA29" s="222" t="s">
        <v>125</v>
      </c>
    </row>
    <row r="30" spans="2:27" ht="13.5">
      <c r="B30" s="265"/>
      <c r="C30" s="212"/>
      <c r="D30" s="271" t="s">
        <v>125</v>
      </c>
      <c r="E30" s="213"/>
      <c r="F30" s="213"/>
      <c r="G30" s="305"/>
      <c r="H30" s="307"/>
      <c r="I30" s="214" t="s">
        <v>125</v>
      </c>
      <c r="J30" s="215" t="s">
        <v>125</v>
      </c>
      <c r="K30" s="215" t="s">
        <v>125</v>
      </c>
      <c r="L30" s="223" t="s">
        <v>125</v>
      </c>
      <c r="M30" s="183"/>
      <c r="N30" s="183"/>
      <c r="O30" s="183"/>
      <c r="P30" s="183"/>
      <c r="Q30" s="183"/>
      <c r="R30" s="183"/>
      <c r="S30" s="183"/>
      <c r="T30" s="183"/>
      <c r="U30" s="183"/>
      <c r="V30" s="183"/>
      <c r="W30" s="183"/>
      <c r="X30" s="183"/>
      <c r="Y30" s="183"/>
      <c r="Z30" s="221" t="s">
        <v>125</v>
      </c>
      <c r="AA30" s="222" t="s">
        <v>125</v>
      </c>
    </row>
    <row r="31" spans="2:27" ht="13.5">
      <c r="B31" s="265"/>
      <c r="C31" s="212"/>
      <c r="D31" s="271" t="s">
        <v>125</v>
      </c>
      <c r="E31" s="213"/>
      <c r="F31" s="213"/>
      <c r="G31" s="305"/>
      <c r="H31" s="307"/>
      <c r="I31" s="214" t="s">
        <v>125</v>
      </c>
      <c r="J31" s="215" t="s">
        <v>125</v>
      </c>
      <c r="K31" s="215" t="s">
        <v>125</v>
      </c>
      <c r="L31" s="223" t="s">
        <v>125</v>
      </c>
      <c r="M31" s="183"/>
      <c r="N31" s="183"/>
      <c r="O31" s="183"/>
      <c r="P31" s="183"/>
      <c r="Q31" s="183"/>
      <c r="R31" s="183"/>
      <c r="S31" s="183"/>
      <c r="T31" s="183"/>
      <c r="U31" s="183"/>
      <c r="V31" s="183"/>
      <c r="W31" s="183"/>
      <c r="X31" s="183"/>
      <c r="Y31" s="183"/>
      <c r="Z31" s="221" t="s">
        <v>125</v>
      </c>
      <c r="AA31" s="222" t="s">
        <v>125</v>
      </c>
    </row>
    <row r="32" spans="2:27" ht="13.5">
      <c r="B32" s="265"/>
      <c r="C32" s="212"/>
      <c r="D32" s="271" t="s">
        <v>125</v>
      </c>
      <c r="E32" s="213"/>
      <c r="F32" s="213"/>
      <c r="G32" s="305"/>
      <c r="H32" s="307"/>
      <c r="I32" s="214" t="s">
        <v>125</v>
      </c>
      <c r="J32" s="215" t="s">
        <v>125</v>
      </c>
      <c r="K32" s="215" t="s">
        <v>125</v>
      </c>
      <c r="L32" s="223" t="s">
        <v>125</v>
      </c>
      <c r="M32" s="183"/>
      <c r="N32" s="183"/>
      <c r="O32" s="183"/>
      <c r="P32" s="183"/>
      <c r="Q32" s="183"/>
      <c r="R32" s="183"/>
      <c r="S32" s="183"/>
      <c r="T32" s="183"/>
      <c r="U32" s="183"/>
      <c r="V32" s="183"/>
      <c r="W32" s="183"/>
      <c r="X32" s="183"/>
      <c r="Y32" s="183"/>
      <c r="Z32" s="221" t="s">
        <v>125</v>
      </c>
      <c r="AA32" s="222" t="s">
        <v>125</v>
      </c>
    </row>
    <row r="33" spans="2:27" ht="13.5">
      <c r="B33" s="265"/>
      <c r="C33" s="212"/>
      <c r="D33" s="271" t="s">
        <v>125</v>
      </c>
      <c r="E33" s="213"/>
      <c r="F33" s="213"/>
      <c r="G33" s="305"/>
      <c r="H33" s="307"/>
      <c r="I33" s="214" t="s">
        <v>125</v>
      </c>
      <c r="J33" s="215" t="s">
        <v>125</v>
      </c>
      <c r="K33" s="215" t="s">
        <v>125</v>
      </c>
      <c r="L33" s="223" t="s">
        <v>125</v>
      </c>
      <c r="M33" s="183"/>
      <c r="N33" s="183"/>
      <c r="O33" s="183"/>
      <c r="P33" s="183"/>
      <c r="Q33" s="183"/>
      <c r="R33" s="183"/>
      <c r="S33" s="183"/>
      <c r="T33" s="183"/>
      <c r="U33" s="183"/>
      <c r="V33" s="183"/>
      <c r="W33" s="183"/>
      <c r="X33" s="183"/>
      <c r="Y33" s="183"/>
      <c r="Z33" s="221" t="s">
        <v>125</v>
      </c>
      <c r="AA33" s="222" t="s">
        <v>125</v>
      </c>
    </row>
    <row r="34" spans="2:27" ht="13.5">
      <c r="B34" s="265"/>
      <c r="C34" s="212"/>
      <c r="D34" s="271" t="s">
        <v>125</v>
      </c>
      <c r="E34" s="213"/>
      <c r="F34" s="213"/>
      <c r="G34" s="305"/>
      <c r="H34" s="307"/>
      <c r="I34" s="214" t="s">
        <v>125</v>
      </c>
      <c r="J34" s="215" t="s">
        <v>125</v>
      </c>
      <c r="K34" s="215" t="s">
        <v>125</v>
      </c>
      <c r="L34" s="223" t="s">
        <v>125</v>
      </c>
      <c r="M34" s="183"/>
      <c r="N34" s="183"/>
      <c r="O34" s="183"/>
      <c r="P34" s="183"/>
      <c r="Q34" s="183"/>
      <c r="R34" s="183"/>
      <c r="S34" s="183"/>
      <c r="T34" s="183"/>
      <c r="U34" s="183"/>
      <c r="V34" s="183"/>
      <c r="W34" s="183"/>
      <c r="X34" s="183"/>
      <c r="Y34" s="183"/>
      <c r="Z34" s="221" t="s">
        <v>125</v>
      </c>
      <c r="AA34" s="222" t="s">
        <v>125</v>
      </c>
    </row>
    <row r="35" spans="2:27" ht="13.5">
      <c r="B35" s="265"/>
      <c r="C35" s="212"/>
      <c r="D35" s="271" t="s">
        <v>125</v>
      </c>
      <c r="E35" s="213"/>
      <c r="F35" s="213"/>
      <c r="G35" s="305"/>
      <c r="H35" s="307"/>
      <c r="I35" s="214" t="s">
        <v>125</v>
      </c>
      <c r="J35" s="215" t="s">
        <v>125</v>
      </c>
      <c r="K35" s="215" t="s">
        <v>125</v>
      </c>
      <c r="L35" s="223" t="s">
        <v>125</v>
      </c>
      <c r="M35" s="183"/>
      <c r="N35" s="183"/>
      <c r="O35" s="183"/>
      <c r="P35" s="183"/>
      <c r="Q35" s="183"/>
      <c r="R35" s="183"/>
      <c r="S35" s="183"/>
      <c r="T35" s="183"/>
      <c r="U35" s="183"/>
      <c r="V35" s="183"/>
      <c r="W35" s="183"/>
      <c r="X35" s="183"/>
      <c r="Y35" s="183"/>
      <c r="Z35" s="221" t="s">
        <v>125</v>
      </c>
      <c r="AA35" s="222" t="s">
        <v>125</v>
      </c>
    </row>
    <row r="36" spans="2:27" ht="13.5">
      <c r="B36" s="265"/>
      <c r="C36" s="212"/>
      <c r="D36" s="271" t="s">
        <v>125</v>
      </c>
      <c r="E36" s="213"/>
      <c r="F36" s="213"/>
      <c r="G36" s="305"/>
      <c r="H36" s="307"/>
      <c r="I36" s="214" t="s">
        <v>125</v>
      </c>
      <c r="J36" s="215" t="s">
        <v>125</v>
      </c>
      <c r="K36" s="215" t="s">
        <v>125</v>
      </c>
      <c r="L36" s="223" t="s">
        <v>125</v>
      </c>
      <c r="M36" s="183"/>
      <c r="N36" s="183"/>
      <c r="O36" s="183"/>
      <c r="P36" s="183"/>
      <c r="Q36" s="183"/>
      <c r="R36" s="183"/>
      <c r="S36" s="183"/>
      <c r="T36" s="183"/>
      <c r="U36" s="183"/>
      <c r="V36" s="183"/>
      <c r="W36" s="183"/>
      <c r="X36" s="183"/>
      <c r="Y36" s="183"/>
      <c r="Z36" s="221" t="s">
        <v>125</v>
      </c>
      <c r="AA36" s="222" t="s">
        <v>125</v>
      </c>
    </row>
    <row r="37" spans="2:27" ht="13.5">
      <c r="B37" s="265"/>
      <c r="C37" s="212"/>
      <c r="D37" s="271" t="s">
        <v>125</v>
      </c>
      <c r="E37" s="213"/>
      <c r="F37" s="213"/>
      <c r="G37" s="305"/>
      <c r="H37" s="307"/>
      <c r="I37" s="214" t="s">
        <v>125</v>
      </c>
      <c r="J37" s="215" t="s">
        <v>125</v>
      </c>
      <c r="K37" s="215" t="s">
        <v>125</v>
      </c>
      <c r="L37" s="223" t="s">
        <v>125</v>
      </c>
      <c r="M37" s="183"/>
      <c r="N37" s="183"/>
      <c r="O37" s="183"/>
      <c r="P37" s="183"/>
      <c r="Q37" s="183"/>
      <c r="R37" s="183"/>
      <c r="S37" s="183"/>
      <c r="T37" s="183"/>
      <c r="U37" s="183"/>
      <c r="V37" s="183"/>
      <c r="W37" s="183"/>
      <c r="X37" s="183"/>
      <c r="Y37" s="183"/>
      <c r="Z37" s="221" t="s">
        <v>125</v>
      </c>
      <c r="AA37" s="222" t="s">
        <v>125</v>
      </c>
    </row>
    <row r="38" spans="2:27" ht="13.5">
      <c r="B38" s="265"/>
      <c r="C38" s="212"/>
      <c r="D38" s="271" t="s">
        <v>125</v>
      </c>
      <c r="E38" s="213"/>
      <c r="F38" s="213"/>
      <c r="G38" s="305"/>
      <c r="H38" s="307"/>
      <c r="I38" s="214" t="s">
        <v>125</v>
      </c>
      <c r="J38" s="215" t="s">
        <v>125</v>
      </c>
      <c r="K38" s="215" t="s">
        <v>125</v>
      </c>
      <c r="L38" s="223" t="s">
        <v>125</v>
      </c>
      <c r="M38" s="183"/>
      <c r="N38" s="183"/>
      <c r="O38" s="183"/>
      <c r="P38" s="183"/>
      <c r="Q38" s="183"/>
      <c r="R38" s="183"/>
      <c r="S38" s="183"/>
      <c r="T38" s="183"/>
      <c r="U38" s="183"/>
      <c r="V38" s="183"/>
      <c r="W38" s="183"/>
      <c r="X38" s="183"/>
      <c r="Y38" s="183"/>
      <c r="Z38" s="221" t="s">
        <v>125</v>
      </c>
      <c r="AA38" s="222" t="s">
        <v>125</v>
      </c>
    </row>
    <row r="39" spans="2:27" ht="13.5">
      <c r="B39" s="265"/>
      <c r="C39" s="212"/>
      <c r="D39" s="271" t="s">
        <v>125</v>
      </c>
      <c r="E39" s="213"/>
      <c r="F39" s="213"/>
      <c r="G39" s="305"/>
      <c r="H39" s="307"/>
      <c r="I39" s="214" t="s">
        <v>125</v>
      </c>
      <c r="J39" s="215" t="s">
        <v>125</v>
      </c>
      <c r="K39" s="215" t="s">
        <v>125</v>
      </c>
      <c r="L39" s="223" t="s">
        <v>125</v>
      </c>
      <c r="M39" s="183"/>
      <c r="N39" s="183"/>
      <c r="O39" s="183"/>
      <c r="P39" s="183"/>
      <c r="Q39" s="183"/>
      <c r="R39" s="183"/>
      <c r="S39" s="183"/>
      <c r="T39" s="183"/>
      <c r="U39" s="183"/>
      <c r="V39" s="183"/>
      <c r="W39" s="183"/>
      <c r="X39" s="183"/>
      <c r="Y39" s="183"/>
      <c r="Z39" s="221" t="s">
        <v>125</v>
      </c>
      <c r="AA39" s="222" t="s">
        <v>125</v>
      </c>
    </row>
    <row r="40" spans="2:27" ht="13.5">
      <c r="B40" s="265"/>
      <c r="C40" s="212"/>
      <c r="D40" s="271" t="s">
        <v>125</v>
      </c>
      <c r="E40" s="213"/>
      <c r="F40" s="213"/>
      <c r="G40" s="305"/>
      <c r="H40" s="307"/>
      <c r="I40" s="214" t="s">
        <v>125</v>
      </c>
      <c r="J40" s="215" t="s">
        <v>125</v>
      </c>
      <c r="K40" s="215" t="s">
        <v>125</v>
      </c>
      <c r="L40" s="223" t="s">
        <v>125</v>
      </c>
      <c r="M40" s="183"/>
      <c r="N40" s="183"/>
      <c r="O40" s="183"/>
      <c r="P40" s="183"/>
      <c r="Q40" s="183"/>
      <c r="R40" s="183"/>
      <c r="S40" s="183"/>
      <c r="T40" s="183"/>
      <c r="U40" s="183"/>
      <c r="V40" s="183"/>
      <c r="W40" s="183"/>
      <c r="X40" s="183"/>
      <c r="Y40" s="183"/>
      <c r="Z40" s="221" t="s">
        <v>125</v>
      </c>
      <c r="AA40" s="222" t="s">
        <v>125</v>
      </c>
    </row>
    <row r="41" spans="2:27" ht="13.5">
      <c r="B41" s="265"/>
      <c r="C41" s="212"/>
      <c r="D41" s="271" t="s">
        <v>125</v>
      </c>
      <c r="E41" s="213"/>
      <c r="F41" s="213"/>
      <c r="G41" s="305"/>
      <c r="H41" s="307"/>
      <c r="I41" s="214" t="s">
        <v>125</v>
      </c>
      <c r="J41" s="215" t="s">
        <v>125</v>
      </c>
      <c r="K41" s="215" t="s">
        <v>125</v>
      </c>
      <c r="L41" s="223" t="s">
        <v>125</v>
      </c>
      <c r="M41" s="183"/>
      <c r="N41" s="183"/>
      <c r="O41" s="183"/>
      <c r="P41" s="183"/>
      <c r="Q41" s="183"/>
      <c r="R41" s="183"/>
      <c r="S41" s="183"/>
      <c r="T41" s="183"/>
      <c r="U41" s="183"/>
      <c r="V41" s="183"/>
      <c r="W41" s="183"/>
      <c r="X41" s="183"/>
      <c r="Y41" s="183"/>
      <c r="Z41" s="221" t="s">
        <v>125</v>
      </c>
      <c r="AA41" s="222" t="s">
        <v>125</v>
      </c>
    </row>
    <row r="42" spans="2:27" ht="13.5">
      <c r="B42" s="265"/>
      <c r="C42" s="212"/>
      <c r="D42" s="271" t="s">
        <v>125</v>
      </c>
      <c r="E42" s="213"/>
      <c r="F42" s="213"/>
      <c r="G42" s="305"/>
      <c r="H42" s="307"/>
      <c r="I42" s="214" t="s">
        <v>125</v>
      </c>
      <c r="J42" s="215" t="s">
        <v>125</v>
      </c>
      <c r="K42" s="215" t="s">
        <v>125</v>
      </c>
      <c r="L42" s="223" t="s">
        <v>125</v>
      </c>
      <c r="M42" s="183"/>
      <c r="N42" s="183"/>
      <c r="O42" s="183"/>
      <c r="P42" s="183"/>
      <c r="Q42" s="183"/>
      <c r="R42" s="183"/>
      <c r="S42" s="183"/>
      <c r="T42" s="183"/>
      <c r="U42" s="183"/>
      <c r="V42" s="183"/>
      <c r="W42" s="183"/>
      <c r="X42" s="183"/>
      <c r="Y42" s="183"/>
      <c r="Z42" s="221" t="s">
        <v>125</v>
      </c>
      <c r="AA42" s="222" t="s">
        <v>125</v>
      </c>
    </row>
    <row r="43" spans="2:27" ht="13.5">
      <c r="B43" s="265"/>
      <c r="C43" s="212"/>
      <c r="D43" s="271" t="s">
        <v>125</v>
      </c>
      <c r="E43" s="213"/>
      <c r="F43" s="213"/>
      <c r="G43" s="305"/>
      <c r="H43" s="307"/>
      <c r="I43" s="214" t="s">
        <v>125</v>
      </c>
      <c r="J43" s="215" t="s">
        <v>125</v>
      </c>
      <c r="K43" s="215" t="s">
        <v>125</v>
      </c>
      <c r="L43" s="223" t="s">
        <v>125</v>
      </c>
      <c r="M43" s="183"/>
      <c r="N43" s="183"/>
      <c r="O43" s="183"/>
      <c r="P43" s="183"/>
      <c r="Q43" s="183"/>
      <c r="R43" s="183"/>
      <c r="S43" s="183"/>
      <c r="T43" s="183"/>
      <c r="U43" s="183"/>
      <c r="V43" s="183"/>
      <c r="W43" s="183"/>
      <c r="X43" s="183"/>
      <c r="Y43" s="183"/>
      <c r="Z43" s="221" t="s">
        <v>125</v>
      </c>
      <c r="AA43" s="222" t="s">
        <v>125</v>
      </c>
    </row>
    <row r="44" spans="2:27" ht="13.5">
      <c r="B44" s="265"/>
      <c r="C44" s="212"/>
      <c r="D44" s="271" t="s">
        <v>125</v>
      </c>
      <c r="E44" s="213"/>
      <c r="F44" s="213"/>
      <c r="G44" s="305"/>
      <c r="H44" s="307"/>
      <c r="I44" s="214" t="s">
        <v>125</v>
      </c>
      <c r="J44" s="215" t="s">
        <v>125</v>
      </c>
      <c r="K44" s="215" t="s">
        <v>125</v>
      </c>
      <c r="L44" s="223" t="s">
        <v>125</v>
      </c>
      <c r="M44" s="183"/>
      <c r="N44" s="183"/>
      <c r="O44" s="183"/>
      <c r="P44" s="183"/>
      <c r="Q44" s="183"/>
      <c r="R44" s="183"/>
      <c r="S44" s="183"/>
      <c r="T44" s="183"/>
      <c r="U44" s="183"/>
      <c r="V44" s="183"/>
      <c r="W44" s="183"/>
      <c r="X44" s="183"/>
      <c r="Y44" s="183"/>
      <c r="Z44" s="221" t="s">
        <v>125</v>
      </c>
      <c r="AA44" s="222" t="s">
        <v>125</v>
      </c>
    </row>
    <row r="45" spans="2:27" ht="13.5">
      <c r="B45" s="265"/>
      <c r="C45" s="212"/>
      <c r="D45" s="271" t="s">
        <v>125</v>
      </c>
      <c r="E45" s="213"/>
      <c r="F45" s="213"/>
      <c r="G45" s="305"/>
      <c r="H45" s="307"/>
      <c r="I45" s="214" t="s">
        <v>125</v>
      </c>
      <c r="J45" s="215" t="s">
        <v>125</v>
      </c>
      <c r="K45" s="215" t="s">
        <v>125</v>
      </c>
      <c r="L45" s="223" t="s">
        <v>125</v>
      </c>
      <c r="M45" s="183"/>
      <c r="N45" s="183"/>
      <c r="O45" s="183"/>
      <c r="P45" s="183"/>
      <c r="Q45" s="183"/>
      <c r="R45" s="183"/>
      <c r="S45" s="183"/>
      <c r="T45" s="183"/>
      <c r="U45" s="183"/>
      <c r="V45" s="183"/>
      <c r="W45" s="183"/>
      <c r="X45" s="183"/>
      <c r="Y45" s="183"/>
      <c r="Z45" s="221" t="s">
        <v>125</v>
      </c>
      <c r="AA45" s="222" t="s">
        <v>125</v>
      </c>
    </row>
    <row r="46" spans="2:27" ht="13.5">
      <c r="B46" s="265"/>
      <c r="C46" s="212"/>
      <c r="D46" s="271" t="s">
        <v>125</v>
      </c>
      <c r="E46" s="213"/>
      <c r="F46" s="213"/>
      <c r="G46" s="305"/>
      <c r="H46" s="307"/>
      <c r="I46" s="214" t="s">
        <v>125</v>
      </c>
      <c r="J46" s="215" t="s">
        <v>125</v>
      </c>
      <c r="K46" s="215" t="s">
        <v>125</v>
      </c>
      <c r="L46" s="223" t="s">
        <v>125</v>
      </c>
      <c r="M46" s="183"/>
      <c r="N46" s="183"/>
      <c r="O46" s="183"/>
      <c r="P46" s="183"/>
      <c r="Q46" s="183"/>
      <c r="R46" s="183"/>
      <c r="S46" s="183"/>
      <c r="T46" s="183"/>
      <c r="U46" s="183"/>
      <c r="V46" s="183"/>
      <c r="W46" s="183"/>
      <c r="X46" s="183"/>
      <c r="Y46" s="183"/>
      <c r="Z46" s="221" t="s">
        <v>125</v>
      </c>
      <c r="AA46" s="222" t="s">
        <v>125</v>
      </c>
    </row>
    <row r="47" spans="2:27" ht="13.5">
      <c r="B47" s="265"/>
      <c r="C47" s="212"/>
      <c r="D47" s="271" t="s">
        <v>125</v>
      </c>
      <c r="E47" s="213"/>
      <c r="F47" s="213"/>
      <c r="G47" s="305"/>
      <c r="H47" s="307"/>
      <c r="I47" s="214" t="s">
        <v>125</v>
      </c>
      <c r="J47" s="215" t="s">
        <v>125</v>
      </c>
      <c r="K47" s="215" t="s">
        <v>125</v>
      </c>
      <c r="L47" s="223" t="s">
        <v>125</v>
      </c>
      <c r="M47" s="183"/>
      <c r="N47" s="183"/>
      <c r="O47" s="183"/>
      <c r="P47" s="183"/>
      <c r="Q47" s="183"/>
      <c r="R47" s="183"/>
      <c r="S47" s="183"/>
      <c r="T47" s="183"/>
      <c r="U47" s="183"/>
      <c r="V47" s="183"/>
      <c r="W47" s="183"/>
      <c r="X47" s="183"/>
      <c r="Y47" s="183"/>
      <c r="Z47" s="221" t="s">
        <v>125</v>
      </c>
      <c r="AA47" s="222" t="s">
        <v>125</v>
      </c>
    </row>
    <row r="48" spans="2:27" ht="13.5">
      <c r="B48" s="265"/>
      <c r="C48" s="212"/>
      <c r="D48" s="271" t="s">
        <v>125</v>
      </c>
      <c r="E48" s="213"/>
      <c r="F48" s="213"/>
      <c r="G48" s="305"/>
      <c r="H48" s="307"/>
      <c r="I48" s="214" t="s">
        <v>125</v>
      </c>
      <c r="J48" s="215" t="s">
        <v>125</v>
      </c>
      <c r="K48" s="215" t="s">
        <v>125</v>
      </c>
      <c r="L48" s="223" t="s">
        <v>125</v>
      </c>
      <c r="M48" s="183"/>
      <c r="N48" s="183"/>
      <c r="O48" s="183"/>
      <c r="P48" s="183"/>
      <c r="Q48" s="183"/>
      <c r="R48" s="183"/>
      <c r="S48" s="183"/>
      <c r="T48" s="183"/>
      <c r="U48" s="183"/>
      <c r="V48" s="183"/>
      <c r="W48" s="183"/>
      <c r="X48" s="183"/>
      <c r="Y48" s="183"/>
      <c r="Z48" s="221" t="s">
        <v>125</v>
      </c>
      <c r="AA48" s="222" t="s">
        <v>125</v>
      </c>
    </row>
    <row r="49" spans="2:27" ht="13.5">
      <c r="B49" s="265"/>
      <c r="C49" s="212"/>
      <c r="D49" s="271" t="s">
        <v>125</v>
      </c>
      <c r="E49" s="213"/>
      <c r="F49" s="213"/>
      <c r="G49" s="305"/>
      <c r="H49" s="307"/>
      <c r="I49" s="214" t="s">
        <v>125</v>
      </c>
      <c r="J49" s="215" t="s">
        <v>125</v>
      </c>
      <c r="K49" s="215" t="s">
        <v>125</v>
      </c>
      <c r="L49" s="223" t="s">
        <v>125</v>
      </c>
      <c r="M49" s="183"/>
      <c r="N49" s="183"/>
      <c r="O49" s="183"/>
      <c r="P49" s="183"/>
      <c r="Q49" s="183"/>
      <c r="R49" s="183"/>
      <c r="S49" s="183"/>
      <c r="T49" s="183"/>
      <c r="U49" s="183"/>
      <c r="V49" s="183"/>
      <c r="W49" s="183"/>
      <c r="X49" s="183"/>
      <c r="Y49" s="183"/>
      <c r="Z49" s="221" t="s">
        <v>125</v>
      </c>
      <c r="AA49" s="222" t="s">
        <v>125</v>
      </c>
    </row>
    <row r="50" spans="2:27" ht="13.5">
      <c r="B50" s="265"/>
      <c r="C50" s="212"/>
      <c r="D50" s="271" t="s">
        <v>125</v>
      </c>
      <c r="E50" s="213"/>
      <c r="F50" s="213"/>
      <c r="G50" s="305"/>
      <c r="H50" s="307"/>
      <c r="I50" s="214" t="s">
        <v>125</v>
      </c>
      <c r="J50" s="215" t="s">
        <v>125</v>
      </c>
      <c r="K50" s="215" t="s">
        <v>125</v>
      </c>
      <c r="L50" s="223" t="s">
        <v>125</v>
      </c>
      <c r="M50" s="183"/>
      <c r="N50" s="183"/>
      <c r="O50" s="183"/>
      <c r="P50" s="183"/>
      <c r="Q50" s="183"/>
      <c r="R50" s="183"/>
      <c r="S50" s="183"/>
      <c r="T50" s="183"/>
      <c r="U50" s="183"/>
      <c r="V50" s="183"/>
      <c r="W50" s="183"/>
      <c r="X50" s="183"/>
      <c r="Y50" s="183"/>
      <c r="Z50" s="221" t="s">
        <v>125</v>
      </c>
      <c r="AA50" s="222" t="s">
        <v>125</v>
      </c>
    </row>
    <row r="51" spans="2:27" ht="13.5">
      <c r="B51" s="265"/>
      <c r="C51" s="212"/>
      <c r="D51" s="271" t="s">
        <v>125</v>
      </c>
      <c r="E51" s="213"/>
      <c r="F51" s="213"/>
      <c r="G51" s="305"/>
      <c r="H51" s="307"/>
      <c r="I51" s="214" t="s">
        <v>125</v>
      </c>
      <c r="J51" s="215" t="s">
        <v>125</v>
      </c>
      <c r="K51" s="215" t="s">
        <v>125</v>
      </c>
      <c r="L51" s="223" t="s">
        <v>125</v>
      </c>
      <c r="M51" s="183"/>
      <c r="N51" s="183"/>
      <c r="O51" s="183"/>
      <c r="P51" s="183"/>
      <c r="Q51" s="183"/>
      <c r="R51" s="183"/>
      <c r="S51" s="183"/>
      <c r="T51" s="183"/>
      <c r="U51" s="183"/>
      <c r="V51" s="183"/>
      <c r="W51" s="183"/>
      <c r="X51" s="183"/>
      <c r="Y51" s="183"/>
      <c r="Z51" s="221" t="s">
        <v>125</v>
      </c>
      <c r="AA51" s="222" t="s">
        <v>125</v>
      </c>
    </row>
    <row r="52" spans="2:27" ht="13.5">
      <c r="B52" s="265"/>
      <c r="C52" s="212"/>
      <c r="D52" s="271" t="s">
        <v>125</v>
      </c>
      <c r="E52" s="213"/>
      <c r="F52" s="213"/>
      <c r="G52" s="305"/>
      <c r="H52" s="307"/>
      <c r="I52" s="214" t="s">
        <v>125</v>
      </c>
      <c r="J52" s="215" t="s">
        <v>125</v>
      </c>
      <c r="K52" s="215" t="s">
        <v>125</v>
      </c>
      <c r="L52" s="223" t="s">
        <v>125</v>
      </c>
      <c r="M52" s="183"/>
      <c r="N52" s="183"/>
      <c r="O52" s="183"/>
      <c r="P52" s="183"/>
      <c r="Q52" s="183"/>
      <c r="R52" s="183"/>
      <c r="S52" s="183"/>
      <c r="T52" s="183"/>
      <c r="U52" s="183"/>
      <c r="V52" s="183"/>
      <c r="W52" s="183"/>
      <c r="X52" s="183"/>
      <c r="Y52" s="183"/>
      <c r="Z52" s="221" t="s">
        <v>125</v>
      </c>
      <c r="AA52" s="222" t="s">
        <v>125</v>
      </c>
    </row>
    <row r="53" spans="2:27" ht="13.5">
      <c r="B53" s="265"/>
      <c r="C53" s="212"/>
      <c r="D53" s="271" t="s">
        <v>125</v>
      </c>
      <c r="E53" s="213"/>
      <c r="F53" s="213"/>
      <c r="G53" s="305"/>
      <c r="H53" s="307"/>
      <c r="I53" s="214" t="s">
        <v>125</v>
      </c>
      <c r="J53" s="215" t="s">
        <v>125</v>
      </c>
      <c r="K53" s="215" t="s">
        <v>125</v>
      </c>
      <c r="L53" s="223" t="s">
        <v>125</v>
      </c>
      <c r="M53" s="183"/>
      <c r="N53" s="183"/>
      <c r="O53" s="183"/>
      <c r="P53" s="183"/>
      <c r="Q53" s="183"/>
      <c r="R53" s="183"/>
      <c r="S53" s="183"/>
      <c r="T53" s="183"/>
      <c r="U53" s="183"/>
      <c r="V53" s="183"/>
      <c r="W53" s="183"/>
      <c r="X53" s="183"/>
      <c r="Y53" s="183"/>
      <c r="Z53" s="221" t="s">
        <v>125</v>
      </c>
      <c r="AA53" s="222" t="s">
        <v>125</v>
      </c>
    </row>
    <row r="54" spans="2:27" ht="14.25" thickBot="1">
      <c r="B54" s="266"/>
      <c r="C54" s="232"/>
      <c r="D54" s="272" t="s">
        <v>125</v>
      </c>
      <c r="E54" s="233"/>
      <c r="F54" s="233"/>
      <c r="G54" s="306"/>
      <c r="H54" s="308"/>
      <c r="I54" s="234" t="s">
        <v>125</v>
      </c>
      <c r="J54" s="235" t="s">
        <v>125</v>
      </c>
      <c r="K54" s="235" t="s">
        <v>125</v>
      </c>
      <c r="L54" s="236" t="s">
        <v>125</v>
      </c>
      <c r="M54" s="183"/>
      <c r="N54" s="183"/>
      <c r="O54" s="183"/>
      <c r="P54" s="183"/>
      <c r="Q54" s="183"/>
      <c r="R54" s="183"/>
      <c r="S54" s="183"/>
      <c r="T54" s="183"/>
      <c r="U54" s="183"/>
      <c r="V54" s="183"/>
      <c r="W54" s="183"/>
      <c r="X54" s="183"/>
      <c r="Y54" s="183"/>
      <c r="Z54" s="237" t="s">
        <v>125</v>
      </c>
      <c r="AA54" s="238" t="s">
        <v>125</v>
      </c>
    </row>
    <row r="55" spans="2:27" ht="13.5">
      <c r="B55" s="184"/>
      <c r="C55" s="184"/>
      <c r="D55" s="184"/>
      <c r="E55" s="184"/>
      <c r="F55" s="184"/>
      <c r="G55" s="184"/>
      <c r="H55" s="184"/>
      <c r="I55" s="188"/>
      <c r="J55" s="185"/>
      <c r="K55" s="185"/>
      <c r="M55" s="183"/>
      <c r="N55" s="183"/>
      <c r="O55" s="183"/>
      <c r="P55" s="183"/>
      <c r="Q55" s="183"/>
      <c r="R55" s="183"/>
      <c r="S55" s="183"/>
      <c r="T55" s="183"/>
      <c r="U55" s="183"/>
      <c r="V55" s="183"/>
      <c r="W55" s="183"/>
      <c r="X55" s="183"/>
      <c r="Y55" s="183"/>
      <c r="Z55" s="186"/>
      <c r="AA55" s="186"/>
    </row>
    <row r="56" spans="2:27" ht="14.25" thickBot="1">
      <c r="B56" s="239"/>
      <c r="C56" s="239"/>
      <c r="D56" s="239"/>
      <c r="E56" s="239"/>
      <c r="F56" s="239"/>
      <c r="G56" s="239"/>
      <c r="H56" s="239"/>
      <c r="I56" s="240"/>
      <c r="J56" s="241"/>
      <c r="K56" s="241"/>
      <c r="L56" s="242"/>
      <c r="M56" s="242"/>
      <c r="N56" s="242"/>
      <c r="O56" s="242"/>
      <c r="P56" s="242"/>
      <c r="Q56" s="242"/>
      <c r="R56" s="242"/>
      <c r="S56" s="242"/>
      <c r="T56" s="242"/>
      <c r="U56" s="242"/>
      <c r="V56" s="242"/>
      <c r="W56" s="242"/>
      <c r="X56" s="242"/>
      <c r="Y56" s="183"/>
      <c r="Z56" s="243"/>
      <c r="AA56" s="243"/>
    </row>
    <row r="57" spans="2:12" ht="13.5">
      <c r="B57" s="184"/>
      <c r="C57" s="184"/>
      <c r="D57" s="184"/>
      <c r="E57" s="184"/>
      <c r="F57" s="184"/>
      <c r="G57" s="184"/>
      <c r="H57" s="184"/>
      <c r="I57" s="185"/>
      <c r="J57" s="244"/>
      <c r="K57" s="244"/>
      <c r="L57" s="244"/>
    </row>
    <row r="58" spans="2:24" ht="13.5">
      <c r="B58" s="558">
        <v>2</v>
      </c>
      <c r="C58" s="558"/>
      <c r="D58" s="558"/>
      <c r="E58" s="558"/>
      <c r="F58" s="558"/>
      <c r="G58" s="558"/>
      <c r="H58" s="558"/>
      <c r="I58" s="558"/>
      <c r="J58" s="558"/>
      <c r="K58" s="558"/>
      <c r="L58" s="558"/>
      <c r="M58" s="558"/>
      <c r="N58" s="558"/>
      <c r="O58" s="558"/>
      <c r="P58" s="558"/>
      <c r="Q58" s="558"/>
      <c r="R58" s="558"/>
      <c r="S58" s="558"/>
      <c r="T58" s="558"/>
      <c r="U58" s="558"/>
      <c r="V58" s="558"/>
      <c r="W58" s="558"/>
      <c r="X58" s="558"/>
    </row>
    <row r="60" ht="13.5"/>
  </sheetData>
  <sheetProtection password="CA83" sheet="1" objects="1" scenarios="1" selectLockedCells="1" selectUnlockedCells="1"/>
  <mergeCells count="22">
    <mergeCell ref="B58:X58"/>
    <mergeCell ref="B11:B14"/>
    <mergeCell ref="C11:C14"/>
    <mergeCell ref="N11:X12"/>
    <mergeCell ref="O13:P13"/>
    <mergeCell ref="Q13:R13"/>
    <mergeCell ref="S13:T13"/>
    <mergeCell ref="U13:V13"/>
    <mergeCell ref="W13:X13"/>
    <mergeCell ref="B6:C6"/>
    <mergeCell ref="D6:E6"/>
    <mergeCell ref="B7:C7"/>
    <mergeCell ref="D7:E7"/>
    <mergeCell ref="B8:C8"/>
    <mergeCell ref="D8:E8"/>
    <mergeCell ref="B2:X2"/>
    <mergeCell ref="Z2:AA2"/>
    <mergeCell ref="B4:C4"/>
    <mergeCell ref="D4:F4"/>
    <mergeCell ref="B5:C5"/>
    <mergeCell ref="D5:F5"/>
    <mergeCell ref="J5:L5"/>
  </mergeCells>
  <conditionalFormatting sqref="I15:I54">
    <cfRule type="expression" priority="1" dxfId="0" stopIfTrue="1">
      <formula>$D$6&lt;=$B15</formula>
    </cfRule>
  </conditionalFormatting>
  <conditionalFormatting sqref="J15:J54">
    <cfRule type="expression" priority="2" dxfId="0" stopIfTrue="1">
      <formula>$D$7&lt;=$B15</formula>
    </cfRule>
  </conditionalFormatting>
  <dataValidations count="1">
    <dataValidation type="list" allowBlank="1" showInputMessage="1" showErrorMessage="1" sqref="C15:C54">
      <formula1>"表土,砂質土,粘性土,礫質土"</formula1>
    </dataValidation>
  </dataValidations>
  <printOptions horizontalCentered="1"/>
  <pageMargins left="0.5905511811023623" right="0.5905511811023623" top="1.1023622047244095" bottom="0.1968503937007874" header="0.7086614173228347" footer="0"/>
  <pageSetup horizontalDpi="600" verticalDpi="600" orientation="landscape" paperSize="8" r:id="rId4"/>
  <drawing r:id="rId3"/>
  <legacyDrawing r:id="rId2"/>
</worksheet>
</file>

<file path=xl/worksheets/sheet8.xml><?xml version="1.0" encoding="utf-8"?>
<worksheet xmlns="http://schemas.openxmlformats.org/spreadsheetml/2006/main" xmlns:r="http://schemas.openxmlformats.org/officeDocument/2006/relationships">
  <sheetPr codeName="Sheet8"/>
  <dimension ref="B1:AD57"/>
  <sheetViews>
    <sheetView zoomScale="70" zoomScaleNormal="70" zoomScalePageLayoutView="0" workbookViewId="0" topLeftCell="A1">
      <selection activeCell="A1" sqref="A1"/>
    </sheetView>
  </sheetViews>
  <sheetFormatPr defaultColWidth="9.140625" defaultRowHeight="15"/>
  <cols>
    <col min="1" max="1" width="5.140625" style="7" customWidth="1"/>
    <col min="2" max="2" width="6.140625" style="7" customWidth="1"/>
    <col min="3" max="4" width="6.57421875" style="7" customWidth="1"/>
    <col min="5" max="5" width="6.421875" style="7" customWidth="1"/>
    <col min="6" max="7" width="6.421875" style="150" customWidth="1"/>
    <col min="8" max="8" width="7.421875" style="7" customWidth="1"/>
    <col min="9" max="17" width="6.7109375" style="7" customWidth="1"/>
    <col min="18" max="18" width="7.421875" style="7" customWidth="1"/>
    <col min="19" max="20" width="9.00390625" style="7" customWidth="1"/>
    <col min="21" max="21" width="8.57421875" style="7" customWidth="1"/>
    <col min="22" max="22" width="5.421875" style="7" customWidth="1"/>
    <col min="23" max="24" width="9.00390625" style="7" customWidth="1"/>
    <col min="25" max="25" width="7.421875" style="7" customWidth="1"/>
    <col min="26" max="16384" width="9.00390625" style="7" customWidth="1"/>
  </cols>
  <sheetData>
    <row r="1" spans="3:17" ht="13.5">
      <c r="C1" s="1"/>
      <c r="D1" s="1"/>
      <c r="E1" s="1"/>
      <c r="F1" s="149"/>
      <c r="G1" s="149"/>
      <c r="H1" s="1"/>
      <c r="I1" s="1"/>
      <c r="J1" s="1"/>
      <c r="K1" s="1"/>
      <c r="L1" s="1"/>
      <c r="M1" s="1"/>
      <c r="N1" s="1"/>
      <c r="O1" s="1"/>
      <c r="P1" s="1"/>
      <c r="Q1" s="1"/>
    </row>
    <row r="2" spans="2:27" ht="14.25" customHeight="1">
      <c r="B2" s="589" t="s">
        <v>43</v>
      </c>
      <c r="C2" s="589"/>
      <c r="D2" s="589"/>
      <c r="E2" s="589"/>
      <c r="F2" s="589"/>
      <c r="G2" s="589"/>
      <c r="H2" s="589"/>
      <c r="I2" s="589"/>
      <c r="J2" s="589"/>
      <c r="K2" s="589"/>
      <c r="L2" s="589"/>
      <c r="M2" s="589"/>
      <c r="N2" s="589"/>
      <c r="O2" s="589"/>
      <c r="P2" s="589"/>
      <c r="Q2" s="589"/>
      <c r="R2" s="589"/>
      <c r="S2" s="589"/>
      <c r="T2" s="589"/>
      <c r="U2" s="589"/>
      <c r="V2" s="589"/>
      <c r="W2" s="589"/>
      <c r="X2" s="589"/>
      <c r="Y2" s="589"/>
      <c r="Z2" s="589"/>
      <c r="AA2" s="589"/>
    </row>
    <row r="3" spans="9:18" ht="14.25" thickBot="1">
      <c r="I3" s="183"/>
      <c r="J3" s="183"/>
      <c r="K3" s="183"/>
      <c r="L3" s="183"/>
      <c r="M3" s="183"/>
      <c r="N3" s="183"/>
      <c r="O3" s="183"/>
      <c r="P3" s="183"/>
      <c r="Q3" s="183"/>
      <c r="R3" s="183"/>
    </row>
    <row r="4" spans="3:28" ht="16.5" customHeight="1" thickTop="1">
      <c r="C4" s="591" t="s">
        <v>135</v>
      </c>
      <c r="D4" s="591"/>
      <c r="E4" s="591" t="s">
        <v>150</v>
      </c>
      <c r="F4" s="591"/>
      <c r="G4" s="591"/>
      <c r="I4" s="592" t="s">
        <v>199</v>
      </c>
      <c r="J4" s="593"/>
      <c r="K4" s="593"/>
      <c r="L4" s="594"/>
      <c r="M4" s="460"/>
      <c r="N4" s="581" t="s">
        <v>94</v>
      </c>
      <c r="O4" s="582"/>
      <c r="P4" s="582"/>
      <c r="Q4" s="582"/>
      <c r="R4" s="583"/>
      <c r="T4" s="581" t="s">
        <v>98</v>
      </c>
      <c r="U4" s="582"/>
      <c r="V4" s="583"/>
      <c r="AA4" s="18"/>
      <c r="AB4" s="18"/>
    </row>
    <row r="5" spans="3:27" ht="16.5" customHeight="1" thickBot="1">
      <c r="C5" s="599" t="s">
        <v>136</v>
      </c>
      <c r="D5" s="599"/>
      <c r="E5" s="599" t="s">
        <v>137</v>
      </c>
      <c r="F5" s="599"/>
      <c r="G5" s="599"/>
      <c r="I5" s="462"/>
      <c r="J5" s="463" t="s">
        <v>169</v>
      </c>
      <c r="K5" s="464"/>
      <c r="L5" s="500">
        <v>7.793555002151294</v>
      </c>
      <c r="M5" s="461"/>
      <c r="N5" s="299"/>
      <c r="O5" s="245" t="s">
        <v>169</v>
      </c>
      <c r="P5" s="246"/>
      <c r="Q5" s="173">
        <v>8.011517369528214</v>
      </c>
      <c r="R5" s="247" t="s">
        <v>118</v>
      </c>
      <c r="T5" s="355" t="s">
        <v>160</v>
      </c>
      <c r="U5" s="302">
        <v>3.2073059597337013</v>
      </c>
      <c r="V5" s="303" t="s">
        <v>101</v>
      </c>
      <c r="AA5" s="18"/>
    </row>
    <row r="6" spans="3:27" ht="16.5" customHeight="1" thickTop="1">
      <c r="C6" s="600" t="s">
        <v>202</v>
      </c>
      <c r="D6" s="601"/>
      <c r="E6" s="601">
        <v>1</v>
      </c>
      <c r="F6" s="601"/>
      <c r="G6" s="505" t="s">
        <v>11</v>
      </c>
      <c r="I6" s="465" t="s">
        <v>198</v>
      </c>
      <c r="J6" s="463" t="s">
        <v>170</v>
      </c>
      <c r="K6" s="464"/>
      <c r="L6" s="500">
        <v>18.32402634952551</v>
      </c>
      <c r="M6" s="461"/>
      <c r="N6" s="300" t="s">
        <v>95</v>
      </c>
      <c r="O6" s="245" t="s">
        <v>170</v>
      </c>
      <c r="P6" s="246"/>
      <c r="Q6" s="173">
        <v>12.51752350357884</v>
      </c>
      <c r="R6" s="247" t="s">
        <v>93</v>
      </c>
      <c r="T6" s="311" t="s">
        <v>100</v>
      </c>
      <c r="U6" s="312">
        <v>8.40072206148625</v>
      </c>
      <c r="V6" s="313" t="s">
        <v>101</v>
      </c>
      <c r="AA6" s="18"/>
    </row>
    <row r="7" spans="3:18" ht="16.5" customHeight="1" thickBot="1">
      <c r="C7" s="602" t="s">
        <v>138</v>
      </c>
      <c r="D7" s="603"/>
      <c r="E7" s="604">
        <v>3</v>
      </c>
      <c r="F7" s="604"/>
      <c r="G7" s="504" t="s">
        <v>11</v>
      </c>
      <c r="H7" s="1"/>
      <c r="I7" s="466"/>
      <c r="J7" s="467" t="s">
        <v>171</v>
      </c>
      <c r="K7" s="468"/>
      <c r="L7" s="501">
        <v>2.3270785873795687</v>
      </c>
      <c r="M7" s="461"/>
      <c r="N7" s="301"/>
      <c r="O7" s="248" t="s">
        <v>171</v>
      </c>
      <c r="P7" s="249"/>
      <c r="Q7" s="250">
        <v>3.8955950458981814</v>
      </c>
      <c r="R7" s="251" t="s">
        <v>93</v>
      </c>
    </row>
    <row r="8" spans="3:13" ht="12" customHeight="1" thickTop="1">
      <c r="C8" s="15"/>
      <c r="D8" s="15"/>
      <c r="E8" s="11"/>
      <c r="F8" s="151"/>
      <c r="G8" s="160"/>
      <c r="H8" s="108"/>
      <c r="I8" s="108"/>
      <c r="J8" s="108"/>
      <c r="K8" s="109"/>
      <c r="M8" s="109"/>
    </row>
    <row r="9" spans="3:7" ht="12" customHeight="1" thickBot="1">
      <c r="C9" s="15"/>
      <c r="D9" s="15"/>
      <c r="E9" s="11"/>
      <c r="F9" s="151"/>
      <c r="G9" s="160"/>
    </row>
    <row r="10" spans="3:17" ht="13.5" customHeight="1">
      <c r="C10" s="58"/>
      <c r="D10" s="577" t="s">
        <v>4</v>
      </c>
      <c r="E10" s="60"/>
      <c r="F10" s="152"/>
      <c r="G10" s="174"/>
      <c r="H10" s="110"/>
      <c r="I10" s="595" t="s">
        <v>169</v>
      </c>
      <c r="J10" s="596"/>
      <c r="K10" s="598"/>
      <c r="L10" s="595" t="s">
        <v>170</v>
      </c>
      <c r="M10" s="596"/>
      <c r="N10" s="598"/>
      <c r="O10" s="595" t="s">
        <v>171</v>
      </c>
      <c r="P10" s="596"/>
      <c r="Q10" s="597"/>
    </row>
    <row r="11" spans="3:17" ht="12" customHeight="1">
      <c r="C11" s="551" t="s">
        <v>0</v>
      </c>
      <c r="D11" s="578"/>
      <c r="E11" s="65" t="s">
        <v>5</v>
      </c>
      <c r="F11" s="153"/>
      <c r="G11" s="175"/>
      <c r="H11" s="111" t="s">
        <v>28</v>
      </c>
      <c r="I11" s="71" t="s">
        <v>18</v>
      </c>
      <c r="J11" s="472" t="s">
        <v>193</v>
      </c>
      <c r="K11" s="73" t="s">
        <v>18</v>
      </c>
      <c r="L11" s="72" t="s">
        <v>18</v>
      </c>
      <c r="M11" s="90" t="s">
        <v>193</v>
      </c>
      <c r="N11" s="90" t="s">
        <v>18</v>
      </c>
      <c r="O11" s="71" t="s">
        <v>18</v>
      </c>
      <c r="P11" s="472" t="s">
        <v>193</v>
      </c>
      <c r="Q11" s="75" t="s">
        <v>18</v>
      </c>
    </row>
    <row r="12" spans="3:17" ht="12" customHeight="1">
      <c r="C12" s="551"/>
      <c r="D12" s="578"/>
      <c r="E12" s="65" t="s">
        <v>6</v>
      </c>
      <c r="F12" s="153" t="s">
        <v>13</v>
      </c>
      <c r="G12" s="175" t="s">
        <v>14</v>
      </c>
      <c r="H12" s="112" t="s">
        <v>68</v>
      </c>
      <c r="I12" s="71" t="s">
        <v>23</v>
      </c>
      <c r="J12" s="472" t="s">
        <v>194</v>
      </c>
      <c r="K12" s="73" t="s">
        <v>25</v>
      </c>
      <c r="L12" s="72" t="s">
        <v>23</v>
      </c>
      <c r="M12" s="90" t="s">
        <v>194</v>
      </c>
      <c r="N12" s="90" t="s">
        <v>25</v>
      </c>
      <c r="O12" s="71" t="s">
        <v>23</v>
      </c>
      <c r="P12" s="472" t="s">
        <v>194</v>
      </c>
      <c r="Q12" s="75" t="s">
        <v>25</v>
      </c>
    </row>
    <row r="13" spans="3:17" ht="13.5">
      <c r="C13" s="78" t="s">
        <v>2</v>
      </c>
      <c r="D13" s="579"/>
      <c r="E13" s="79" t="s">
        <v>10</v>
      </c>
      <c r="F13" s="154"/>
      <c r="G13" s="176" t="s">
        <v>62</v>
      </c>
      <c r="H13" s="113" t="s">
        <v>67</v>
      </c>
      <c r="I13" s="85" t="s">
        <v>24</v>
      </c>
      <c r="J13" s="473" t="s">
        <v>196</v>
      </c>
      <c r="K13" s="87" t="s">
        <v>26</v>
      </c>
      <c r="L13" s="86" t="s">
        <v>24</v>
      </c>
      <c r="M13" s="91" t="s">
        <v>196</v>
      </c>
      <c r="N13" s="91" t="s">
        <v>26</v>
      </c>
      <c r="O13" s="85" t="s">
        <v>24</v>
      </c>
      <c r="P13" s="473" t="s">
        <v>196</v>
      </c>
      <c r="Q13" s="89" t="s">
        <v>26</v>
      </c>
    </row>
    <row r="14" spans="3:17" ht="13.5">
      <c r="C14" s="114">
        <v>0.5</v>
      </c>
      <c r="D14" s="115" t="s">
        <v>125</v>
      </c>
      <c r="E14" s="116">
        <v>66</v>
      </c>
      <c r="F14" s="177">
        <v>2</v>
      </c>
      <c r="G14" s="178">
        <v>100</v>
      </c>
      <c r="H14" s="100" t="s">
        <v>125</v>
      </c>
      <c r="I14" s="27" t="s">
        <v>125</v>
      </c>
      <c r="J14" s="474" t="s">
        <v>125</v>
      </c>
      <c r="K14" s="29" t="s">
        <v>125</v>
      </c>
      <c r="L14" s="28" t="s">
        <v>125</v>
      </c>
      <c r="M14" s="102" t="s">
        <v>125</v>
      </c>
      <c r="N14" s="92" t="s">
        <v>125</v>
      </c>
      <c r="O14" s="27" t="s">
        <v>125</v>
      </c>
      <c r="P14" s="474" t="s">
        <v>125</v>
      </c>
      <c r="Q14" s="31" t="s">
        <v>125</v>
      </c>
    </row>
    <row r="15" spans="3:17" ht="13.5">
      <c r="C15" s="114">
        <v>1</v>
      </c>
      <c r="D15" s="115" t="s">
        <v>139</v>
      </c>
      <c r="E15" s="116">
        <v>66</v>
      </c>
      <c r="F15" s="177">
        <v>2</v>
      </c>
      <c r="G15" s="178">
        <v>100</v>
      </c>
      <c r="H15" s="100" t="s">
        <v>125</v>
      </c>
      <c r="I15" s="27" t="s">
        <v>125</v>
      </c>
      <c r="J15" s="474" t="s">
        <v>125</v>
      </c>
      <c r="K15" s="29" t="s">
        <v>125</v>
      </c>
      <c r="L15" s="28" t="s">
        <v>125</v>
      </c>
      <c r="M15" s="102" t="s">
        <v>125</v>
      </c>
      <c r="N15" s="92" t="s">
        <v>125</v>
      </c>
      <c r="O15" s="27" t="s">
        <v>125</v>
      </c>
      <c r="P15" s="474" t="s">
        <v>125</v>
      </c>
      <c r="Q15" s="31" t="s">
        <v>125</v>
      </c>
    </row>
    <row r="16" spans="3:17" ht="13.5">
      <c r="C16" s="114">
        <v>1.5</v>
      </c>
      <c r="D16" s="115" t="s">
        <v>96</v>
      </c>
      <c r="E16" s="116">
        <v>21</v>
      </c>
      <c r="F16" s="177">
        <v>4</v>
      </c>
      <c r="G16" s="178">
        <v>100</v>
      </c>
      <c r="H16" s="100" t="s">
        <v>125</v>
      </c>
      <c r="I16" s="27" t="s">
        <v>125</v>
      </c>
      <c r="J16" s="474" t="s">
        <v>125</v>
      </c>
      <c r="K16" s="29" t="s">
        <v>125</v>
      </c>
      <c r="L16" s="28" t="s">
        <v>125</v>
      </c>
      <c r="M16" s="102" t="s">
        <v>125</v>
      </c>
      <c r="N16" s="92" t="s">
        <v>125</v>
      </c>
      <c r="O16" s="27" t="s">
        <v>125</v>
      </c>
      <c r="P16" s="474" t="s">
        <v>125</v>
      </c>
      <c r="Q16" s="31" t="s">
        <v>125</v>
      </c>
    </row>
    <row r="17" spans="3:17" ht="13.5">
      <c r="C17" s="114">
        <v>2</v>
      </c>
      <c r="D17" s="115" t="s">
        <v>96</v>
      </c>
      <c r="E17" s="116">
        <v>21</v>
      </c>
      <c r="F17" s="177">
        <v>5</v>
      </c>
      <c r="G17" s="178">
        <v>100</v>
      </c>
      <c r="H17" s="100" t="s">
        <v>125</v>
      </c>
      <c r="I17" s="27" t="s">
        <v>125</v>
      </c>
      <c r="J17" s="474" t="s">
        <v>125</v>
      </c>
      <c r="K17" s="29" t="s">
        <v>125</v>
      </c>
      <c r="L17" s="28" t="s">
        <v>125</v>
      </c>
      <c r="M17" s="102" t="s">
        <v>125</v>
      </c>
      <c r="N17" s="92" t="s">
        <v>125</v>
      </c>
      <c r="O17" s="27" t="s">
        <v>125</v>
      </c>
      <c r="P17" s="474" t="s">
        <v>125</v>
      </c>
      <c r="Q17" s="31" t="s">
        <v>125</v>
      </c>
    </row>
    <row r="18" spans="3:17" ht="13.5">
      <c r="C18" s="117">
        <v>2.5</v>
      </c>
      <c r="D18" s="118" t="s">
        <v>96</v>
      </c>
      <c r="E18" s="119">
        <v>21</v>
      </c>
      <c r="F18" s="179">
        <v>5</v>
      </c>
      <c r="G18" s="178">
        <v>100</v>
      </c>
      <c r="H18" s="102" t="s">
        <v>125</v>
      </c>
      <c r="I18" s="120" t="s">
        <v>125</v>
      </c>
      <c r="J18" s="474" t="s">
        <v>125</v>
      </c>
      <c r="K18" s="32" t="s">
        <v>125</v>
      </c>
      <c r="L18" s="101" t="s">
        <v>125</v>
      </c>
      <c r="M18" s="102" t="s">
        <v>125</v>
      </c>
      <c r="N18" s="93" t="s">
        <v>125</v>
      </c>
      <c r="O18" s="120" t="s">
        <v>125</v>
      </c>
      <c r="P18" s="474" t="s">
        <v>125</v>
      </c>
      <c r="Q18" s="33" t="s">
        <v>125</v>
      </c>
    </row>
    <row r="19" spans="3:17" ht="13.5">
      <c r="C19" s="117">
        <v>3</v>
      </c>
      <c r="D19" s="118" t="s">
        <v>96</v>
      </c>
      <c r="E19" s="119">
        <v>21</v>
      </c>
      <c r="F19" s="179">
        <v>5</v>
      </c>
      <c r="G19" s="178">
        <v>100</v>
      </c>
      <c r="H19" s="102" t="s">
        <v>125</v>
      </c>
      <c r="I19" s="120" t="s">
        <v>125</v>
      </c>
      <c r="J19" s="474" t="s">
        <v>125</v>
      </c>
      <c r="K19" s="32" t="s">
        <v>125</v>
      </c>
      <c r="L19" s="101" t="s">
        <v>125</v>
      </c>
      <c r="M19" s="102" t="s">
        <v>125</v>
      </c>
      <c r="N19" s="93" t="s">
        <v>125</v>
      </c>
      <c r="O19" s="120" t="s">
        <v>125</v>
      </c>
      <c r="P19" s="474" t="s">
        <v>125</v>
      </c>
      <c r="Q19" s="33" t="s">
        <v>125</v>
      </c>
    </row>
    <row r="20" spans="3:17" ht="13.5">
      <c r="C20" s="117">
        <v>3.5</v>
      </c>
      <c r="D20" s="118" t="s">
        <v>96</v>
      </c>
      <c r="E20" s="119">
        <v>21</v>
      </c>
      <c r="F20" s="179">
        <v>5</v>
      </c>
      <c r="G20" s="178">
        <v>95</v>
      </c>
      <c r="H20" s="102" t="s">
        <v>157</v>
      </c>
      <c r="I20" s="120">
        <v>1.6507323285369546</v>
      </c>
      <c r="J20" s="474" t="s">
        <v>125</v>
      </c>
      <c r="K20" s="32" t="s">
        <v>125</v>
      </c>
      <c r="L20" s="101">
        <v>1.1609546046853305</v>
      </c>
      <c r="M20" s="102" t="s">
        <v>125</v>
      </c>
      <c r="N20" s="93" t="s">
        <v>125</v>
      </c>
      <c r="O20" s="120" t="s">
        <v>159</v>
      </c>
      <c r="P20" s="474" t="s">
        <v>125</v>
      </c>
      <c r="Q20" s="33" t="s">
        <v>125</v>
      </c>
    </row>
    <row r="21" spans="3:17" ht="13.5">
      <c r="C21" s="117">
        <v>4</v>
      </c>
      <c r="D21" s="118" t="s">
        <v>96</v>
      </c>
      <c r="E21" s="119">
        <v>21</v>
      </c>
      <c r="F21" s="179">
        <v>5</v>
      </c>
      <c r="G21" s="178">
        <v>95</v>
      </c>
      <c r="H21" s="102" t="s">
        <v>157</v>
      </c>
      <c r="I21" s="120">
        <v>1.5029953845847144</v>
      </c>
      <c r="J21" s="474" t="s">
        <v>125</v>
      </c>
      <c r="K21" s="32" t="s">
        <v>125</v>
      </c>
      <c r="L21" s="101">
        <v>1.0570516990485903</v>
      </c>
      <c r="M21" s="102" t="s">
        <v>125</v>
      </c>
      <c r="N21" s="93" t="s">
        <v>125</v>
      </c>
      <c r="O21" s="120">
        <v>1.8787442307308937</v>
      </c>
      <c r="P21" s="474" t="s">
        <v>125</v>
      </c>
      <c r="Q21" s="33" t="s">
        <v>125</v>
      </c>
    </row>
    <row r="22" spans="3:17" ht="13.5">
      <c r="C22" s="114">
        <v>4.5</v>
      </c>
      <c r="D22" s="115" t="s">
        <v>96</v>
      </c>
      <c r="E22" s="116">
        <v>21</v>
      </c>
      <c r="F22" s="177">
        <v>6</v>
      </c>
      <c r="G22" s="178">
        <v>100</v>
      </c>
      <c r="H22" s="100" t="s">
        <v>125</v>
      </c>
      <c r="I22" s="27">
        <v>1.0325113995307666</v>
      </c>
      <c r="J22" s="474" t="s">
        <v>125</v>
      </c>
      <c r="K22" s="29" t="s">
        <v>125</v>
      </c>
      <c r="L22" s="28">
        <v>0.7261618634062534</v>
      </c>
      <c r="M22" s="102">
        <v>1.061122779300768</v>
      </c>
      <c r="N22" s="92" t="s">
        <v>158</v>
      </c>
      <c r="O22" s="27">
        <v>1.2906392494134584</v>
      </c>
      <c r="P22" s="474" t="s">
        <v>125</v>
      </c>
      <c r="Q22" s="31" t="s">
        <v>125</v>
      </c>
    </row>
    <row r="23" spans="3:17" ht="13.5">
      <c r="C23" s="252">
        <v>5</v>
      </c>
      <c r="D23" s="253" t="s">
        <v>96</v>
      </c>
      <c r="E23" s="254">
        <v>21</v>
      </c>
      <c r="F23" s="255">
        <v>6</v>
      </c>
      <c r="G23" s="256">
        <v>100</v>
      </c>
      <c r="H23" s="257" t="s">
        <v>125</v>
      </c>
      <c r="I23" s="258">
        <v>0.9605620427234411</v>
      </c>
      <c r="J23" s="455">
        <v>0.1478923397870957</v>
      </c>
      <c r="K23" s="259" t="s">
        <v>158</v>
      </c>
      <c r="L23" s="260">
        <v>0.6755601179593431</v>
      </c>
      <c r="M23" s="455">
        <v>1.2166495576524632</v>
      </c>
      <c r="N23" s="261" t="s">
        <v>158</v>
      </c>
      <c r="O23" s="258">
        <v>1.2007025534043017</v>
      </c>
      <c r="P23" s="455" t="s">
        <v>125</v>
      </c>
      <c r="Q23" s="262" t="s">
        <v>125</v>
      </c>
    </row>
    <row r="24" spans="3:17" ht="13.5">
      <c r="C24" s="114">
        <v>5.5</v>
      </c>
      <c r="D24" s="115" t="s">
        <v>96</v>
      </c>
      <c r="E24" s="116">
        <v>21</v>
      </c>
      <c r="F24" s="177">
        <v>6</v>
      </c>
      <c r="G24" s="178">
        <v>100</v>
      </c>
      <c r="H24" s="100" t="s">
        <v>125</v>
      </c>
      <c r="I24" s="27">
        <v>0.9041767233946835</v>
      </c>
      <c r="J24" s="474">
        <v>0.34735937769427244</v>
      </c>
      <c r="K24" s="29" t="s">
        <v>158</v>
      </c>
      <c r="L24" s="28">
        <v>0.6359045087610962</v>
      </c>
      <c r="M24" s="102">
        <v>1.3198461557410264</v>
      </c>
      <c r="N24" s="92" t="s">
        <v>158</v>
      </c>
      <c r="O24" s="27">
        <v>1.1302209042433546</v>
      </c>
      <c r="P24" s="474" t="s">
        <v>125</v>
      </c>
      <c r="Q24" s="31" t="s">
        <v>125</v>
      </c>
    </row>
    <row r="25" spans="3:30" ht="13.5">
      <c r="C25" s="114">
        <v>6</v>
      </c>
      <c r="D25" s="115" t="s">
        <v>96</v>
      </c>
      <c r="E25" s="116">
        <v>21</v>
      </c>
      <c r="F25" s="177">
        <v>6</v>
      </c>
      <c r="G25" s="178">
        <v>100</v>
      </c>
      <c r="H25" s="100" t="s">
        <v>125</v>
      </c>
      <c r="I25" s="27">
        <v>0.8590359564222871</v>
      </c>
      <c r="J25" s="474">
        <v>0.493374152521995</v>
      </c>
      <c r="K25" s="29" t="s">
        <v>158</v>
      </c>
      <c r="L25" s="28">
        <v>0.604157156165125</v>
      </c>
      <c r="M25" s="102">
        <v>1.3854499534220626</v>
      </c>
      <c r="N25" s="92" t="s">
        <v>158</v>
      </c>
      <c r="O25" s="27">
        <v>1.073794945527859</v>
      </c>
      <c r="P25" s="474" t="s">
        <v>125</v>
      </c>
      <c r="Q25" s="31" t="s">
        <v>125</v>
      </c>
      <c r="AD25" s="18"/>
    </row>
    <row r="26" spans="3:17" ht="13.5">
      <c r="C26" s="114">
        <v>6.5</v>
      </c>
      <c r="D26" s="115" t="s">
        <v>96</v>
      </c>
      <c r="E26" s="116">
        <v>21</v>
      </c>
      <c r="F26" s="177">
        <v>7</v>
      </c>
      <c r="G26" s="178">
        <v>100</v>
      </c>
      <c r="H26" s="100" t="s">
        <v>125</v>
      </c>
      <c r="I26" s="27">
        <v>0.9035513737198245</v>
      </c>
      <c r="J26" s="474">
        <v>0.32551411369559224</v>
      </c>
      <c r="K26" s="29" t="s">
        <v>158</v>
      </c>
      <c r="L26" s="28">
        <v>0.6354647023963601</v>
      </c>
      <c r="M26" s="102">
        <v>1.2303066294122846</v>
      </c>
      <c r="N26" s="92" t="s">
        <v>158</v>
      </c>
      <c r="O26" s="27">
        <v>1.129439217149781</v>
      </c>
      <c r="P26" s="474" t="s">
        <v>125</v>
      </c>
      <c r="Q26" s="31" t="s">
        <v>125</v>
      </c>
    </row>
    <row r="27" spans="3:17" ht="13.5">
      <c r="C27" s="114">
        <v>7</v>
      </c>
      <c r="D27" s="115" t="s">
        <v>96</v>
      </c>
      <c r="E27" s="116">
        <v>21</v>
      </c>
      <c r="F27" s="177">
        <v>7</v>
      </c>
      <c r="G27" s="178">
        <v>100</v>
      </c>
      <c r="H27" s="100" t="s">
        <v>125</v>
      </c>
      <c r="I27" s="27">
        <v>0.8647996331128361</v>
      </c>
      <c r="J27" s="474">
        <v>0.43940119238328257</v>
      </c>
      <c r="K27" s="29" t="s">
        <v>158</v>
      </c>
      <c r="L27" s="28">
        <v>0.6082107309804562</v>
      </c>
      <c r="M27" s="102">
        <v>1.2733151243135175</v>
      </c>
      <c r="N27" s="92" t="s">
        <v>158</v>
      </c>
      <c r="O27" s="27">
        <v>1.0809995413910454</v>
      </c>
      <c r="P27" s="474" t="s">
        <v>125</v>
      </c>
      <c r="Q27" s="31" t="s">
        <v>125</v>
      </c>
    </row>
    <row r="28" spans="3:17" ht="13.5">
      <c r="C28" s="114">
        <v>7.5</v>
      </c>
      <c r="D28" s="115" t="s">
        <v>96</v>
      </c>
      <c r="E28" s="116">
        <v>21</v>
      </c>
      <c r="F28" s="177">
        <v>7</v>
      </c>
      <c r="G28" s="178">
        <v>100</v>
      </c>
      <c r="H28" s="100" t="s">
        <v>125</v>
      </c>
      <c r="I28" s="27">
        <v>0.8328822195513663</v>
      </c>
      <c r="J28" s="474">
        <v>0.5222430639019803</v>
      </c>
      <c r="K28" s="29" t="s">
        <v>158</v>
      </c>
      <c r="L28" s="28">
        <v>0.5857633192449169</v>
      </c>
      <c r="M28" s="102">
        <v>1.2944896273596347</v>
      </c>
      <c r="N28" s="92" t="s">
        <v>158</v>
      </c>
      <c r="O28" s="27">
        <v>1.041102774439208</v>
      </c>
      <c r="P28" s="474" t="s">
        <v>125</v>
      </c>
      <c r="Q28" s="31" t="s">
        <v>125</v>
      </c>
    </row>
    <row r="29" spans="3:17" ht="13.5">
      <c r="C29" s="114">
        <v>8</v>
      </c>
      <c r="D29" s="115" t="s">
        <v>96</v>
      </c>
      <c r="E29" s="116">
        <v>21</v>
      </c>
      <c r="F29" s="177">
        <v>7</v>
      </c>
      <c r="G29" s="178">
        <v>100</v>
      </c>
      <c r="H29" s="100" t="s">
        <v>125</v>
      </c>
      <c r="I29" s="27">
        <v>0.8062973692455272</v>
      </c>
      <c r="J29" s="474">
        <v>0.5811078922634184</v>
      </c>
      <c r="K29" s="29" t="s">
        <v>158</v>
      </c>
      <c r="L29" s="28">
        <v>0.5670662816671839</v>
      </c>
      <c r="M29" s="102">
        <v>1.2988011549984484</v>
      </c>
      <c r="N29" s="92" t="s">
        <v>158</v>
      </c>
      <c r="O29" s="27">
        <v>1.0078717115569091</v>
      </c>
      <c r="P29" s="474" t="s">
        <v>125</v>
      </c>
      <c r="Q29" s="31" t="s">
        <v>125</v>
      </c>
    </row>
    <row r="30" spans="3:17" ht="13.5">
      <c r="C30" s="114">
        <v>8.5</v>
      </c>
      <c r="D30" s="115" t="s">
        <v>96</v>
      </c>
      <c r="E30" s="116">
        <v>21</v>
      </c>
      <c r="F30" s="177">
        <v>7</v>
      </c>
      <c r="G30" s="178">
        <v>100</v>
      </c>
      <c r="H30" s="100" t="s">
        <v>125</v>
      </c>
      <c r="I30" s="27">
        <v>0.7839530354286173</v>
      </c>
      <c r="J30" s="474">
        <v>0.6211350231427253</v>
      </c>
      <c r="K30" s="29" t="s">
        <v>158</v>
      </c>
      <c r="L30" s="28">
        <v>0.5513515853563901</v>
      </c>
      <c r="M30" s="102">
        <v>1.2898641921003786</v>
      </c>
      <c r="N30" s="92" t="s">
        <v>158</v>
      </c>
      <c r="O30" s="27">
        <v>0.9799412942857718</v>
      </c>
      <c r="P30" s="474">
        <v>0.057668778928406036</v>
      </c>
      <c r="Q30" s="31" t="s">
        <v>158</v>
      </c>
    </row>
    <row r="31" spans="3:17" ht="13.5">
      <c r="C31" s="114">
        <v>9</v>
      </c>
      <c r="D31" s="115" t="s">
        <v>96</v>
      </c>
      <c r="E31" s="116">
        <v>21</v>
      </c>
      <c r="F31" s="177">
        <v>7</v>
      </c>
      <c r="G31" s="178">
        <v>100</v>
      </c>
      <c r="H31" s="100" t="s">
        <v>125</v>
      </c>
      <c r="I31" s="27">
        <v>0.7650374992634034</v>
      </c>
      <c r="J31" s="474">
        <v>0.6461468770256408</v>
      </c>
      <c r="K31" s="29" t="s">
        <v>158</v>
      </c>
      <c r="L31" s="28">
        <v>0.5380483511303057</v>
      </c>
      <c r="M31" s="102">
        <v>1.2703670343916593</v>
      </c>
      <c r="N31" s="92" t="s">
        <v>158</v>
      </c>
      <c r="O31" s="27">
        <v>0.9562968740792543</v>
      </c>
      <c r="P31" s="474">
        <v>0.12018359628205055</v>
      </c>
      <c r="Q31" s="31" t="s">
        <v>158</v>
      </c>
    </row>
    <row r="32" spans="3:17" ht="13.5">
      <c r="C32" s="114">
        <v>9.5</v>
      </c>
      <c r="D32" s="115" t="s">
        <v>156</v>
      </c>
      <c r="E32" s="116">
        <v>45</v>
      </c>
      <c r="F32" s="177">
        <v>2</v>
      </c>
      <c r="G32" s="178">
        <v>100</v>
      </c>
      <c r="H32" s="100" t="s">
        <v>125</v>
      </c>
      <c r="I32" s="27">
        <v>0.6238653982341498</v>
      </c>
      <c r="J32" s="474">
        <v>0.9873533296353568</v>
      </c>
      <c r="K32" s="29" t="s">
        <v>158</v>
      </c>
      <c r="L32" s="28">
        <v>0.4387624778789625</v>
      </c>
      <c r="M32" s="102">
        <v>1.4732484955677234</v>
      </c>
      <c r="N32" s="92" t="s">
        <v>158</v>
      </c>
      <c r="O32" s="27">
        <v>0.7798317477926874</v>
      </c>
      <c r="P32" s="474">
        <v>0.5779416620441956</v>
      </c>
      <c r="Q32" s="31" t="s">
        <v>158</v>
      </c>
    </row>
    <row r="33" spans="3:17" ht="13.5">
      <c r="C33" s="252">
        <v>10</v>
      </c>
      <c r="D33" s="253" t="s">
        <v>156</v>
      </c>
      <c r="E33" s="254">
        <v>45</v>
      </c>
      <c r="F33" s="255">
        <v>2</v>
      </c>
      <c r="G33" s="256">
        <v>100</v>
      </c>
      <c r="H33" s="257" t="s">
        <v>125</v>
      </c>
      <c r="I33" s="258">
        <v>0.6182801588177159</v>
      </c>
      <c r="J33" s="455">
        <v>0.9542996029557103</v>
      </c>
      <c r="K33" s="259" t="s">
        <v>158</v>
      </c>
      <c r="L33" s="260">
        <v>0.43483439741026175</v>
      </c>
      <c r="M33" s="455">
        <v>1.4129140064743457</v>
      </c>
      <c r="N33" s="261" t="s">
        <v>158</v>
      </c>
      <c r="O33" s="258">
        <v>0.772850198522145</v>
      </c>
      <c r="P33" s="455">
        <v>0.5678745036946375</v>
      </c>
      <c r="Q33" s="262" t="s">
        <v>158</v>
      </c>
    </row>
    <row r="34" spans="3:17" ht="13.5">
      <c r="C34" s="114">
        <v>10.5</v>
      </c>
      <c r="D34" s="115" t="s">
        <v>156</v>
      </c>
      <c r="E34" s="116">
        <v>45</v>
      </c>
      <c r="F34" s="177">
        <v>2</v>
      </c>
      <c r="G34" s="178">
        <v>100</v>
      </c>
      <c r="H34" s="100" t="s">
        <v>125</v>
      </c>
      <c r="I34" s="27">
        <v>0.6283473061381248</v>
      </c>
      <c r="J34" s="474">
        <v>0.8826751479219535</v>
      </c>
      <c r="K34" s="29" t="s">
        <v>158</v>
      </c>
      <c r="L34" s="28">
        <v>0.4419145889323075</v>
      </c>
      <c r="M34" s="102">
        <v>1.3254528512857697</v>
      </c>
      <c r="N34" s="92" t="s">
        <v>158</v>
      </c>
      <c r="O34" s="27">
        <v>0.7854341326726562</v>
      </c>
      <c r="P34" s="474">
        <v>0.5095939349024416</v>
      </c>
      <c r="Q34" s="31" t="s">
        <v>158</v>
      </c>
    </row>
    <row r="35" spans="3:17" ht="13.5">
      <c r="C35" s="114">
        <v>11</v>
      </c>
      <c r="D35" s="115" t="s">
        <v>156</v>
      </c>
      <c r="E35" s="116">
        <v>45</v>
      </c>
      <c r="F35" s="177">
        <v>2</v>
      </c>
      <c r="G35" s="178">
        <v>100</v>
      </c>
      <c r="H35" s="100" t="s">
        <v>125</v>
      </c>
      <c r="I35" s="27">
        <v>0.6244209381234356</v>
      </c>
      <c r="J35" s="474">
        <v>0.84505288922227</v>
      </c>
      <c r="K35" s="29" t="s">
        <v>158</v>
      </c>
      <c r="L35" s="28">
        <v>0.43915318725164704</v>
      </c>
      <c r="M35" s="102">
        <v>1.2619053286837942</v>
      </c>
      <c r="N35" s="92" t="s">
        <v>158</v>
      </c>
      <c r="O35" s="27">
        <v>0.7805261726542946</v>
      </c>
      <c r="P35" s="474">
        <v>0.4938161115278372</v>
      </c>
      <c r="Q35" s="31" t="s">
        <v>158</v>
      </c>
    </row>
    <row r="36" spans="3:17" ht="13.5">
      <c r="C36" s="114">
        <v>11.5</v>
      </c>
      <c r="D36" s="115" t="s">
        <v>96</v>
      </c>
      <c r="E36" s="116">
        <v>6</v>
      </c>
      <c r="F36" s="177">
        <v>22</v>
      </c>
      <c r="G36" s="178">
        <v>100</v>
      </c>
      <c r="H36" s="100" t="s">
        <v>125</v>
      </c>
      <c r="I36" s="27">
        <v>1.7062872293217792</v>
      </c>
      <c r="J36" s="474" t="s">
        <v>125</v>
      </c>
      <c r="K36" s="29" t="s">
        <v>125</v>
      </c>
      <c r="L36" s="28">
        <v>1.2000261832592733</v>
      </c>
      <c r="M36" s="102" t="s">
        <v>125</v>
      </c>
      <c r="N36" s="92" t="s">
        <v>125</v>
      </c>
      <c r="O36" s="27" t="s">
        <v>159</v>
      </c>
      <c r="P36" s="474" t="s">
        <v>125</v>
      </c>
      <c r="Q36" s="31" t="s">
        <v>125</v>
      </c>
    </row>
    <row r="37" spans="3:17" ht="13.5">
      <c r="C37" s="114">
        <v>12</v>
      </c>
      <c r="D37" s="115" t="s">
        <v>96</v>
      </c>
      <c r="E37" s="116">
        <v>6</v>
      </c>
      <c r="F37" s="177">
        <v>22</v>
      </c>
      <c r="G37" s="178">
        <v>100</v>
      </c>
      <c r="H37" s="100" t="s">
        <v>125</v>
      </c>
      <c r="I37" s="27">
        <v>1.5966978127290963</v>
      </c>
      <c r="J37" s="474" t="s">
        <v>125</v>
      </c>
      <c r="K37" s="29" t="s">
        <v>125</v>
      </c>
      <c r="L37" s="28">
        <v>1.1229523078534303</v>
      </c>
      <c r="M37" s="102" t="s">
        <v>125</v>
      </c>
      <c r="N37" s="92" t="s">
        <v>125</v>
      </c>
      <c r="O37" s="27">
        <v>1.9958722659113703</v>
      </c>
      <c r="P37" s="474" t="s">
        <v>125</v>
      </c>
      <c r="Q37" s="31" t="s">
        <v>125</v>
      </c>
    </row>
    <row r="38" spans="3:17" ht="13.5">
      <c r="C38" s="114">
        <v>12.5</v>
      </c>
      <c r="D38" s="115" t="s">
        <v>96</v>
      </c>
      <c r="E38" s="116">
        <v>6</v>
      </c>
      <c r="F38" s="177">
        <v>22</v>
      </c>
      <c r="G38" s="178">
        <v>100</v>
      </c>
      <c r="H38" s="100" t="s">
        <v>125</v>
      </c>
      <c r="I38" s="27">
        <v>1.5033994155689736</v>
      </c>
      <c r="J38" s="474" t="s">
        <v>125</v>
      </c>
      <c r="K38" s="29" t="s">
        <v>125</v>
      </c>
      <c r="L38" s="28">
        <v>1.0573358527078496</v>
      </c>
      <c r="M38" s="102" t="s">
        <v>125</v>
      </c>
      <c r="N38" s="92" t="s">
        <v>125</v>
      </c>
      <c r="O38" s="27">
        <v>1.8792492694612173</v>
      </c>
      <c r="P38" s="474" t="s">
        <v>125</v>
      </c>
      <c r="Q38" s="31" t="s">
        <v>125</v>
      </c>
    </row>
    <row r="39" spans="3:17" ht="13.5">
      <c r="C39" s="114">
        <v>13</v>
      </c>
      <c r="D39" s="115" t="s">
        <v>96</v>
      </c>
      <c r="E39" s="116">
        <v>6</v>
      </c>
      <c r="F39" s="177">
        <v>22</v>
      </c>
      <c r="G39" s="178">
        <v>100</v>
      </c>
      <c r="H39" s="100" t="s">
        <v>125</v>
      </c>
      <c r="I39" s="27">
        <v>1.4235076789745043</v>
      </c>
      <c r="J39" s="474" t="s">
        <v>125</v>
      </c>
      <c r="K39" s="29" t="s">
        <v>125</v>
      </c>
      <c r="L39" s="28">
        <v>1.0011482577403106</v>
      </c>
      <c r="M39" s="102" t="s">
        <v>125</v>
      </c>
      <c r="N39" s="92" t="s">
        <v>125</v>
      </c>
      <c r="O39" s="27">
        <v>1.7793845987181305</v>
      </c>
      <c r="P39" s="474" t="s">
        <v>125</v>
      </c>
      <c r="Q39" s="31" t="s">
        <v>125</v>
      </c>
    </row>
    <row r="40" spans="3:17" ht="13.5">
      <c r="C40" s="114">
        <v>13.5</v>
      </c>
      <c r="D40" s="115" t="s">
        <v>96</v>
      </c>
      <c r="E40" s="116">
        <v>6</v>
      </c>
      <c r="F40" s="177">
        <v>22</v>
      </c>
      <c r="G40" s="178">
        <v>100</v>
      </c>
      <c r="H40" s="100" t="s">
        <v>125</v>
      </c>
      <c r="I40" s="27">
        <v>1.3547382067781069</v>
      </c>
      <c r="J40" s="474" t="s">
        <v>125</v>
      </c>
      <c r="K40" s="29" t="s">
        <v>125</v>
      </c>
      <c r="L40" s="28">
        <v>0.9527829146571299</v>
      </c>
      <c r="M40" s="102">
        <v>0.07672776368216384</v>
      </c>
      <c r="N40" s="92" t="s">
        <v>158</v>
      </c>
      <c r="O40" s="27">
        <v>1.6934227584726338</v>
      </c>
      <c r="P40" s="474" t="s">
        <v>125</v>
      </c>
      <c r="Q40" s="31" t="s">
        <v>125</v>
      </c>
    </row>
    <row r="41" spans="3:17" ht="13.5">
      <c r="C41" s="114">
        <v>14</v>
      </c>
      <c r="D41" s="115" t="s">
        <v>96</v>
      </c>
      <c r="E41" s="116">
        <v>6</v>
      </c>
      <c r="F41" s="177">
        <v>22</v>
      </c>
      <c r="G41" s="178">
        <v>100</v>
      </c>
      <c r="H41" s="100" t="s">
        <v>125</v>
      </c>
      <c r="I41" s="27">
        <v>1.2952658514823803</v>
      </c>
      <c r="J41" s="474" t="s">
        <v>125</v>
      </c>
      <c r="K41" s="29" t="s">
        <v>125</v>
      </c>
      <c r="L41" s="28">
        <v>0.9109562032403552</v>
      </c>
      <c r="M41" s="102">
        <v>0.1335656951394672</v>
      </c>
      <c r="N41" s="92" t="s">
        <v>158</v>
      </c>
      <c r="O41" s="27">
        <v>1.6190823143529758</v>
      </c>
      <c r="P41" s="474" t="s">
        <v>125</v>
      </c>
      <c r="Q41" s="31" t="s">
        <v>125</v>
      </c>
    </row>
    <row r="42" spans="3:17" ht="13.5">
      <c r="C42" s="114">
        <v>14.5</v>
      </c>
      <c r="D42" s="115" t="s">
        <v>96</v>
      </c>
      <c r="E42" s="116">
        <v>6</v>
      </c>
      <c r="F42" s="177">
        <v>43</v>
      </c>
      <c r="G42" s="178">
        <v>100</v>
      </c>
      <c r="H42" s="100" t="s">
        <v>125</v>
      </c>
      <c r="I42" s="27" t="s">
        <v>159</v>
      </c>
      <c r="J42" s="474" t="s">
        <v>125</v>
      </c>
      <c r="K42" s="29" t="s">
        <v>125</v>
      </c>
      <c r="L42" s="28" t="s">
        <v>159</v>
      </c>
      <c r="M42" s="102" t="s">
        <v>125</v>
      </c>
      <c r="N42" s="92" t="s">
        <v>125</v>
      </c>
      <c r="O42" s="27" t="s">
        <v>159</v>
      </c>
      <c r="P42" s="474" t="s">
        <v>125</v>
      </c>
      <c r="Q42" s="31" t="s">
        <v>125</v>
      </c>
    </row>
    <row r="43" spans="3:17" ht="13.5">
      <c r="C43" s="252">
        <v>15</v>
      </c>
      <c r="D43" s="253" t="s">
        <v>96</v>
      </c>
      <c r="E43" s="254">
        <v>6</v>
      </c>
      <c r="F43" s="255">
        <v>43</v>
      </c>
      <c r="G43" s="256">
        <v>100</v>
      </c>
      <c r="H43" s="257" t="s">
        <v>125</v>
      </c>
      <c r="I43" s="258" t="s">
        <v>159</v>
      </c>
      <c r="J43" s="455" t="s">
        <v>125</v>
      </c>
      <c r="K43" s="259" t="s">
        <v>125</v>
      </c>
      <c r="L43" s="260" t="s">
        <v>159</v>
      </c>
      <c r="M43" s="455" t="s">
        <v>125</v>
      </c>
      <c r="N43" s="261" t="s">
        <v>125</v>
      </c>
      <c r="O43" s="258" t="s">
        <v>159</v>
      </c>
      <c r="P43" s="455" t="s">
        <v>125</v>
      </c>
      <c r="Q43" s="262" t="s">
        <v>125</v>
      </c>
    </row>
    <row r="44" spans="3:17" ht="13.5">
      <c r="C44" s="114">
        <v>15.5</v>
      </c>
      <c r="D44" s="115" t="s">
        <v>96</v>
      </c>
      <c r="E44" s="116">
        <v>6</v>
      </c>
      <c r="F44" s="177">
        <v>43</v>
      </c>
      <c r="G44" s="178">
        <v>100</v>
      </c>
      <c r="H44" s="100" t="s">
        <v>125</v>
      </c>
      <c r="I44" s="27" t="s">
        <v>159</v>
      </c>
      <c r="J44" s="474" t="s">
        <v>125</v>
      </c>
      <c r="K44" s="29" t="s">
        <v>125</v>
      </c>
      <c r="L44" s="28" t="s">
        <v>159</v>
      </c>
      <c r="M44" s="102" t="s">
        <v>125</v>
      </c>
      <c r="N44" s="92" t="s">
        <v>125</v>
      </c>
      <c r="O44" s="27" t="s">
        <v>159</v>
      </c>
      <c r="P44" s="474" t="s">
        <v>125</v>
      </c>
      <c r="Q44" s="31" t="s">
        <v>125</v>
      </c>
    </row>
    <row r="45" spans="3:17" ht="13.5">
      <c r="C45" s="114">
        <v>16</v>
      </c>
      <c r="D45" s="115" t="s">
        <v>96</v>
      </c>
      <c r="E45" s="116">
        <v>6</v>
      </c>
      <c r="F45" s="177">
        <v>43</v>
      </c>
      <c r="G45" s="178">
        <v>100</v>
      </c>
      <c r="H45" s="100" t="s">
        <v>125</v>
      </c>
      <c r="I45" s="27" t="s">
        <v>159</v>
      </c>
      <c r="J45" s="474" t="s">
        <v>125</v>
      </c>
      <c r="K45" s="29" t="s">
        <v>125</v>
      </c>
      <c r="L45" s="28" t="s">
        <v>159</v>
      </c>
      <c r="M45" s="102" t="s">
        <v>125</v>
      </c>
      <c r="N45" s="92" t="s">
        <v>125</v>
      </c>
      <c r="O45" s="27" t="s">
        <v>159</v>
      </c>
      <c r="P45" s="474" t="s">
        <v>125</v>
      </c>
      <c r="Q45" s="31" t="s">
        <v>125</v>
      </c>
    </row>
    <row r="46" spans="3:17" ht="13.5">
      <c r="C46" s="114">
        <v>16.5</v>
      </c>
      <c r="D46" s="115" t="s">
        <v>96</v>
      </c>
      <c r="E46" s="116">
        <v>6</v>
      </c>
      <c r="F46" s="177">
        <v>43</v>
      </c>
      <c r="G46" s="178">
        <v>100</v>
      </c>
      <c r="H46" s="100" t="s">
        <v>125</v>
      </c>
      <c r="I46" s="27" t="s">
        <v>159</v>
      </c>
      <c r="J46" s="474" t="s">
        <v>125</v>
      </c>
      <c r="K46" s="29" t="s">
        <v>125</v>
      </c>
      <c r="L46" s="28" t="s">
        <v>159</v>
      </c>
      <c r="M46" s="102" t="s">
        <v>125</v>
      </c>
      <c r="N46" s="92" t="s">
        <v>125</v>
      </c>
      <c r="O46" s="27" t="s">
        <v>159</v>
      </c>
      <c r="P46" s="474" t="s">
        <v>125</v>
      </c>
      <c r="Q46" s="31" t="s">
        <v>125</v>
      </c>
    </row>
    <row r="47" spans="3:17" ht="13.5">
      <c r="C47" s="114">
        <v>17</v>
      </c>
      <c r="D47" s="115" t="s">
        <v>96</v>
      </c>
      <c r="E47" s="116">
        <v>6</v>
      </c>
      <c r="F47" s="177">
        <v>43</v>
      </c>
      <c r="G47" s="178">
        <v>100</v>
      </c>
      <c r="H47" s="100" t="s">
        <v>125</v>
      </c>
      <c r="I47" s="27" t="s">
        <v>159</v>
      </c>
      <c r="J47" s="474" t="s">
        <v>125</v>
      </c>
      <c r="K47" s="29" t="s">
        <v>125</v>
      </c>
      <c r="L47" s="28" t="s">
        <v>159</v>
      </c>
      <c r="M47" s="102" t="s">
        <v>125</v>
      </c>
      <c r="N47" s="92" t="s">
        <v>125</v>
      </c>
      <c r="O47" s="27" t="s">
        <v>159</v>
      </c>
      <c r="P47" s="474" t="s">
        <v>125</v>
      </c>
      <c r="Q47" s="31" t="s">
        <v>125</v>
      </c>
    </row>
    <row r="48" spans="3:17" ht="13.5">
      <c r="C48" s="114">
        <v>17.5</v>
      </c>
      <c r="D48" s="115" t="s">
        <v>125</v>
      </c>
      <c r="E48" s="116" t="s">
        <v>125</v>
      </c>
      <c r="F48" s="177" t="s">
        <v>125</v>
      </c>
      <c r="G48" s="178" t="s">
        <v>125</v>
      </c>
      <c r="H48" s="100" t="s">
        <v>125</v>
      </c>
      <c r="I48" s="27" t="s">
        <v>125</v>
      </c>
      <c r="J48" s="474" t="s">
        <v>125</v>
      </c>
      <c r="K48" s="29" t="s">
        <v>125</v>
      </c>
      <c r="L48" s="28" t="s">
        <v>125</v>
      </c>
      <c r="M48" s="102" t="s">
        <v>125</v>
      </c>
      <c r="N48" s="92" t="s">
        <v>125</v>
      </c>
      <c r="O48" s="27" t="s">
        <v>125</v>
      </c>
      <c r="P48" s="474" t="s">
        <v>125</v>
      </c>
      <c r="Q48" s="31" t="s">
        <v>125</v>
      </c>
    </row>
    <row r="49" spans="3:17" ht="13.5">
      <c r="C49" s="114">
        <v>18</v>
      </c>
      <c r="D49" s="115" t="s">
        <v>125</v>
      </c>
      <c r="E49" s="116" t="s">
        <v>125</v>
      </c>
      <c r="F49" s="177" t="s">
        <v>125</v>
      </c>
      <c r="G49" s="178" t="s">
        <v>125</v>
      </c>
      <c r="H49" s="100" t="s">
        <v>125</v>
      </c>
      <c r="I49" s="27" t="s">
        <v>125</v>
      </c>
      <c r="J49" s="474" t="s">
        <v>125</v>
      </c>
      <c r="K49" s="29" t="s">
        <v>125</v>
      </c>
      <c r="L49" s="28" t="s">
        <v>125</v>
      </c>
      <c r="M49" s="102" t="s">
        <v>125</v>
      </c>
      <c r="N49" s="92" t="s">
        <v>125</v>
      </c>
      <c r="O49" s="27" t="s">
        <v>125</v>
      </c>
      <c r="P49" s="474" t="s">
        <v>125</v>
      </c>
      <c r="Q49" s="31" t="s">
        <v>125</v>
      </c>
    </row>
    <row r="50" spans="3:17" ht="13.5">
      <c r="C50" s="114">
        <v>18.5</v>
      </c>
      <c r="D50" s="115" t="s">
        <v>125</v>
      </c>
      <c r="E50" s="116" t="s">
        <v>125</v>
      </c>
      <c r="F50" s="177" t="s">
        <v>125</v>
      </c>
      <c r="G50" s="178" t="s">
        <v>125</v>
      </c>
      <c r="H50" s="100" t="s">
        <v>125</v>
      </c>
      <c r="I50" s="27" t="s">
        <v>125</v>
      </c>
      <c r="J50" s="474" t="s">
        <v>125</v>
      </c>
      <c r="K50" s="29" t="s">
        <v>125</v>
      </c>
      <c r="L50" s="28" t="s">
        <v>125</v>
      </c>
      <c r="M50" s="102" t="s">
        <v>125</v>
      </c>
      <c r="N50" s="92" t="s">
        <v>125</v>
      </c>
      <c r="O50" s="27" t="s">
        <v>125</v>
      </c>
      <c r="P50" s="474" t="s">
        <v>125</v>
      </c>
      <c r="Q50" s="31" t="s">
        <v>125</v>
      </c>
    </row>
    <row r="51" spans="3:17" ht="13.5">
      <c r="C51" s="114">
        <v>19</v>
      </c>
      <c r="D51" s="115" t="s">
        <v>125</v>
      </c>
      <c r="E51" s="116" t="s">
        <v>125</v>
      </c>
      <c r="F51" s="177" t="s">
        <v>125</v>
      </c>
      <c r="G51" s="178" t="s">
        <v>125</v>
      </c>
      <c r="H51" s="100" t="s">
        <v>125</v>
      </c>
      <c r="I51" s="27" t="s">
        <v>125</v>
      </c>
      <c r="J51" s="474" t="s">
        <v>125</v>
      </c>
      <c r="K51" s="29" t="s">
        <v>125</v>
      </c>
      <c r="L51" s="28" t="s">
        <v>125</v>
      </c>
      <c r="M51" s="102" t="s">
        <v>125</v>
      </c>
      <c r="N51" s="92" t="s">
        <v>125</v>
      </c>
      <c r="O51" s="27" t="s">
        <v>125</v>
      </c>
      <c r="P51" s="474" t="s">
        <v>125</v>
      </c>
      <c r="Q51" s="31" t="s">
        <v>125</v>
      </c>
    </row>
    <row r="52" spans="3:17" ht="13.5">
      <c r="C52" s="114">
        <v>19.5</v>
      </c>
      <c r="D52" s="115" t="s">
        <v>125</v>
      </c>
      <c r="E52" s="116" t="s">
        <v>125</v>
      </c>
      <c r="F52" s="177" t="s">
        <v>125</v>
      </c>
      <c r="G52" s="178" t="s">
        <v>125</v>
      </c>
      <c r="H52" s="100" t="s">
        <v>125</v>
      </c>
      <c r="I52" s="27" t="s">
        <v>125</v>
      </c>
      <c r="J52" s="474" t="s">
        <v>125</v>
      </c>
      <c r="K52" s="29" t="s">
        <v>125</v>
      </c>
      <c r="L52" s="28" t="s">
        <v>125</v>
      </c>
      <c r="M52" s="102" t="s">
        <v>125</v>
      </c>
      <c r="N52" s="92" t="s">
        <v>125</v>
      </c>
      <c r="O52" s="27" t="s">
        <v>125</v>
      </c>
      <c r="P52" s="474" t="s">
        <v>125</v>
      </c>
      <c r="Q52" s="31" t="s">
        <v>125</v>
      </c>
    </row>
    <row r="53" spans="3:17" ht="14.25" thickBot="1">
      <c r="C53" s="121">
        <v>20</v>
      </c>
      <c r="D53" s="122" t="s">
        <v>125</v>
      </c>
      <c r="E53" s="123" t="s">
        <v>125</v>
      </c>
      <c r="F53" s="180" t="s">
        <v>125</v>
      </c>
      <c r="G53" s="181" t="s">
        <v>125</v>
      </c>
      <c r="H53" s="103" t="s">
        <v>125</v>
      </c>
      <c r="I53" s="124" t="s">
        <v>125</v>
      </c>
      <c r="J53" s="102" t="s">
        <v>125</v>
      </c>
      <c r="K53" s="443" t="s">
        <v>125</v>
      </c>
      <c r="L53" s="28" t="s">
        <v>125</v>
      </c>
      <c r="M53" s="102" t="s">
        <v>125</v>
      </c>
      <c r="N53" s="444" t="s">
        <v>125</v>
      </c>
      <c r="O53" s="27" t="s">
        <v>125</v>
      </c>
      <c r="P53" s="475" t="s">
        <v>125</v>
      </c>
      <c r="Q53" s="125" t="s">
        <v>125</v>
      </c>
    </row>
    <row r="54" spans="3:27" ht="13.5">
      <c r="C54" s="1"/>
      <c r="D54" s="1"/>
      <c r="E54" s="1"/>
      <c r="F54" s="149"/>
      <c r="G54" s="149"/>
      <c r="H54" s="1"/>
      <c r="I54" s="469"/>
      <c r="J54" s="470"/>
      <c r="K54" s="109"/>
      <c r="L54" s="471"/>
      <c r="M54" s="470"/>
      <c r="N54" s="109"/>
      <c r="O54" s="471"/>
      <c r="P54" s="470"/>
      <c r="Q54" s="458"/>
      <c r="Z54" s="1"/>
      <c r="AA54" s="1"/>
    </row>
    <row r="55" spans="3:27" ht="7.5" customHeight="1" thickBot="1">
      <c r="C55" s="1"/>
      <c r="D55" s="1"/>
      <c r="E55" s="1"/>
      <c r="F55" s="149"/>
      <c r="G55" s="149"/>
      <c r="H55" s="1"/>
      <c r="I55" s="188"/>
      <c r="J55" s="446"/>
      <c r="K55" s="1"/>
      <c r="L55" s="11"/>
      <c r="M55" s="446"/>
      <c r="N55" s="1"/>
      <c r="O55" s="11"/>
      <c r="P55" s="446"/>
      <c r="Z55" s="445"/>
      <c r="AA55" s="445"/>
    </row>
    <row r="56" spans="2:25" ht="13.5">
      <c r="B56" s="132"/>
      <c r="C56" s="132"/>
      <c r="D56" s="132"/>
      <c r="E56" s="132"/>
      <c r="F56" s="182"/>
      <c r="G56" s="182"/>
      <c r="H56" s="132"/>
      <c r="I56" s="132"/>
      <c r="J56" s="132"/>
      <c r="K56" s="132"/>
      <c r="L56" s="132"/>
      <c r="M56" s="132"/>
      <c r="N56" s="132"/>
      <c r="O56" s="132"/>
      <c r="P56" s="132"/>
      <c r="Q56" s="132"/>
      <c r="R56" s="132"/>
      <c r="S56" s="132"/>
      <c r="T56" s="132"/>
      <c r="U56" s="132"/>
      <c r="V56" s="132"/>
      <c r="W56" s="132"/>
      <c r="X56" s="132"/>
      <c r="Y56" s="132"/>
    </row>
    <row r="57" spans="2:25" ht="13.5">
      <c r="B57" s="590">
        <v>3</v>
      </c>
      <c r="C57" s="590"/>
      <c r="D57" s="590"/>
      <c r="E57" s="590"/>
      <c r="F57" s="590"/>
      <c r="G57" s="590"/>
      <c r="H57" s="590"/>
      <c r="I57" s="590"/>
      <c r="J57" s="590"/>
      <c r="K57" s="590"/>
      <c r="L57" s="590"/>
      <c r="M57" s="590"/>
      <c r="N57" s="590"/>
      <c r="O57" s="590"/>
      <c r="P57" s="590"/>
      <c r="Q57" s="590"/>
      <c r="R57" s="590"/>
      <c r="S57" s="590"/>
      <c r="T57" s="590"/>
      <c r="U57" s="590"/>
      <c r="V57" s="590"/>
      <c r="W57" s="590"/>
      <c r="X57" s="590"/>
      <c r="Y57" s="590"/>
    </row>
  </sheetData>
  <sheetProtection password="CA83" sheet="1" objects="1" scenarios="1" selectLockedCells="1" selectUnlockedCells="1"/>
  <mergeCells count="18">
    <mergeCell ref="B2:AA2"/>
    <mergeCell ref="C4:D4"/>
    <mergeCell ref="E4:G4"/>
    <mergeCell ref="I4:L4"/>
    <mergeCell ref="N4:R4"/>
    <mergeCell ref="T4:V4"/>
    <mergeCell ref="C5:D5"/>
    <mergeCell ref="E5:G5"/>
    <mergeCell ref="C6:D6"/>
    <mergeCell ref="E6:F6"/>
    <mergeCell ref="C7:D7"/>
    <mergeCell ref="E7:F7"/>
    <mergeCell ref="D10:D13"/>
    <mergeCell ref="I10:K10"/>
    <mergeCell ref="L10:N10"/>
    <mergeCell ref="O10:Q10"/>
    <mergeCell ref="C11:C12"/>
    <mergeCell ref="B57:Y57"/>
  </mergeCells>
  <printOptions horizontalCentered="1"/>
  <pageMargins left="0.5905511811023623" right="0.5905511811023623" top="1.299212598425197" bottom="0.1968503937007874" header="0.7086614173228347" footer="0"/>
  <pageSetup horizontalDpi="600" verticalDpi="600" orientation="landscape" paperSize="8" r:id="rId2"/>
  <drawing r:id="rId1"/>
</worksheet>
</file>

<file path=xl/worksheets/sheet9.xml><?xml version="1.0" encoding="utf-8"?>
<worksheet xmlns="http://schemas.openxmlformats.org/spreadsheetml/2006/main" xmlns:r="http://schemas.openxmlformats.org/officeDocument/2006/relationships">
  <sheetPr codeName="Sheet3">
    <pageSetUpPr fitToPage="1"/>
  </sheetPr>
  <dimension ref="A1:BA60"/>
  <sheetViews>
    <sheetView zoomScale="70" zoomScaleNormal="70" zoomScalePageLayoutView="0" workbookViewId="0" topLeftCell="A1">
      <selection activeCell="A1" sqref="A1"/>
    </sheetView>
  </sheetViews>
  <sheetFormatPr defaultColWidth="9.140625" defaultRowHeight="15"/>
  <cols>
    <col min="1" max="1" width="2.421875" style="7" customWidth="1"/>
    <col min="2" max="2" width="6.28125" style="7" customWidth="1"/>
    <col min="3" max="4" width="7.140625" style="7" customWidth="1"/>
    <col min="5" max="6" width="7.140625" style="150" customWidth="1"/>
    <col min="7" max="7" width="7.140625" style="7" customWidth="1"/>
    <col min="8" max="8" width="7.140625" style="8" customWidth="1"/>
    <col min="9" max="9" width="7.140625" style="7" customWidth="1"/>
    <col min="10" max="11" width="7.140625" style="8" customWidth="1"/>
    <col min="12" max="12" width="7.140625" style="7" customWidth="1"/>
    <col min="13" max="13" width="7.140625" style="10" customWidth="1"/>
    <col min="14" max="14" width="7.140625" style="7" customWidth="1"/>
    <col min="15" max="15" width="7.140625" style="10" customWidth="1"/>
    <col min="16" max="16" width="6.421875" style="8" customWidth="1"/>
    <col min="17" max="17" width="6.421875" style="7" customWidth="1"/>
    <col min="18" max="18" width="6.421875" style="10" customWidth="1"/>
    <col min="19" max="19" width="6.421875" style="8" customWidth="1"/>
    <col min="20" max="36" width="6.421875" style="7" customWidth="1"/>
    <col min="37" max="50" width="7.57421875" style="7" customWidth="1"/>
    <col min="51" max="16384" width="9.00390625" style="7" customWidth="1"/>
  </cols>
  <sheetData>
    <row r="1" spans="1:53" ht="14.25" thickBot="1">
      <c r="A1" s="1"/>
      <c r="B1" s="1"/>
      <c r="C1" s="1"/>
      <c r="D1" s="1"/>
      <c r="E1" s="149"/>
      <c r="F1" s="149"/>
      <c r="G1" s="1"/>
      <c r="H1" s="2"/>
      <c r="I1" s="1"/>
      <c r="J1" s="2"/>
      <c r="K1" s="2"/>
      <c r="L1" s="1"/>
      <c r="M1" s="3"/>
      <c r="N1" s="1"/>
      <c r="O1" s="3"/>
      <c r="P1" s="2"/>
      <c r="Q1" s="4"/>
      <c r="R1" s="5"/>
      <c r="S1" s="6"/>
      <c r="T1" s="4"/>
      <c r="U1" s="4"/>
      <c r="V1" s="4"/>
      <c r="W1" s="4"/>
      <c r="AB1" s="4"/>
      <c r="AC1" s="4"/>
      <c r="AH1" s="1"/>
      <c r="AI1" s="1"/>
      <c r="AJ1" s="1"/>
      <c r="AK1" s="1"/>
      <c r="AL1" s="448"/>
      <c r="AM1" s="448"/>
      <c r="AN1" s="448"/>
      <c r="AO1" s="448"/>
      <c r="AP1" s="448"/>
      <c r="AQ1" s="448"/>
      <c r="AR1" s="448"/>
      <c r="AS1" s="448"/>
      <c r="AT1" s="448"/>
      <c r="AU1" s="448"/>
      <c r="AV1" s="448"/>
      <c r="AW1" s="448"/>
      <c r="AX1" s="448"/>
      <c r="AY1" s="448"/>
      <c r="AZ1" s="448"/>
      <c r="BA1" s="448"/>
    </row>
    <row r="2" spans="2:53" ht="14.25" customHeight="1" thickBot="1">
      <c r="B2" s="605" t="s">
        <v>27</v>
      </c>
      <c r="C2" s="605"/>
      <c r="D2" s="605"/>
      <c r="E2" s="605"/>
      <c r="F2" s="605"/>
      <c r="G2" s="605"/>
      <c r="H2" s="605"/>
      <c r="I2" s="605"/>
      <c r="J2" s="605"/>
      <c r="K2" s="605"/>
      <c r="L2" s="605"/>
      <c r="M2" s="605"/>
      <c r="N2" s="605"/>
      <c r="O2" s="605"/>
      <c r="P2" s="605"/>
      <c r="Q2" s="605"/>
      <c r="R2" s="605"/>
      <c r="S2" s="605"/>
      <c r="T2" s="605"/>
      <c r="U2" s="605"/>
      <c r="V2" s="605"/>
      <c r="W2" s="605"/>
      <c r="X2" s="605"/>
      <c r="Y2" s="605"/>
      <c r="Z2" s="605"/>
      <c r="AA2" s="605"/>
      <c r="AB2" s="605"/>
      <c r="AC2" s="605"/>
      <c r="AD2" s="605"/>
      <c r="AE2" s="605"/>
      <c r="AF2" s="605"/>
      <c r="AG2" s="605"/>
      <c r="AH2" s="605"/>
      <c r="AI2" s="605"/>
      <c r="AJ2" s="605"/>
      <c r="AK2" s="447"/>
      <c r="AL2" s="634" t="s">
        <v>89</v>
      </c>
      <c r="AM2" s="634"/>
      <c r="AN2" s="634"/>
      <c r="AO2" s="634"/>
      <c r="AP2" s="634"/>
      <c r="AQ2" s="634"/>
      <c r="AR2" s="634"/>
      <c r="AS2" s="634"/>
      <c r="AT2" s="634"/>
      <c r="AU2" s="634"/>
      <c r="AV2" s="634"/>
      <c r="AW2" s="634"/>
      <c r="AX2" s="634"/>
      <c r="AY2" s="634"/>
      <c r="AZ2" s="634"/>
      <c r="BA2" s="634"/>
    </row>
    <row r="3" spans="9:12" ht="14.25">
      <c r="I3" s="9"/>
      <c r="J3" s="9"/>
      <c r="K3" s="9"/>
      <c r="L3" s="9"/>
    </row>
    <row r="4" spans="2:34" ht="14.25" customHeight="1">
      <c r="B4" s="535" t="s">
        <v>135</v>
      </c>
      <c r="C4" s="535"/>
      <c r="D4" s="611" t="s">
        <v>150</v>
      </c>
      <c r="E4" s="611"/>
      <c r="F4" s="611"/>
      <c r="G4" s="11"/>
      <c r="H4" s="7"/>
      <c r="I4" s="11"/>
      <c r="P4" s="631" t="s">
        <v>57</v>
      </c>
      <c r="Q4" s="607" t="s">
        <v>55</v>
      </c>
      <c r="R4" s="607"/>
      <c r="S4" s="612" t="s">
        <v>56</v>
      </c>
      <c r="T4" s="628"/>
      <c r="U4" s="612" t="s">
        <v>61</v>
      </c>
      <c r="V4" s="612"/>
      <c r="W4" s="608" t="s">
        <v>197</v>
      </c>
      <c r="X4" s="608"/>
      <c r="Y4" s="612" t="s">
        <v>92</v>
      </c>
      <c r="Z4" s="612"/>
      <c r="AB4" s="428"/>
      <c r="AC4" s="12"/>
      <c r="AD4" s="109"/>
      <c r="AE4" s="109"/>
      <c r="AF4" s="109"/>
      <c r="AG4" s="109"/>
      <c r="AH4" s="109"/>
    </row>
    <row r="5" spans="2:38" ht="14.25" customHeight="1">
      <c r="B5" s="633" t="s">
        <v>136</v>
      </c>
      <c r="C5" s="633"/>
      <c r="D5" s="610" t="s">
        <v>137</v>
      </c>
      <c r="E5" s="610"/>
      <c r="F5" s="610"/>
      <c r="G5" s="11"/>
      <c r="H5" s="7"/>
      <c r="I5" s="11"/>
      <c r="P5" s="629"/>
      <c r="Q5" s="539"/>
      <c r="R5" s="539"/>
      <c r="S5" s="629"/>
      <c r="T5" s="630"/>
      <c r="U5" s="542"/>
      <c r="V5" s="542"/>
      <c r="W5" s="609"/>
      <c r="X5" s="609"/>
      <c r="Y5" s="542"/>
      <c r="Z5" s="542"/>
      <c r="AB5" s="449"/>
      <c r="AC5" s="449"/>
      <c r="AD5" s="450"/>
      <c r="AE5" s="451"/>
      <c r="AF5" s="451"/>
      <c r="AG5" s="451"/>
      <c r="AH5" s="451"/>
      <c r="AL5" s="13" t="s">
        <v>51</v>
      </c>
    </row>
    <row r="6" spans="2:39" ht="14.25" customHeight="1">
      <c r="B6" s="673" t="s">
        <v>202</v>
      </c>
      <c r="C6" s="633"/>
      <c r="D6" s="610">
        <v>1</v>
      </c>
      <c r="E6" s="610"/>
      <c r="F6" s="162" t="s">
        <v>11</v>
      </c>
      <c r="G6" s="11"/>
      <c r="H6" s="7"/>
      <c r="I6" s="11"/>
      <c r="P6" s="273">
        <v>1</v>
      </c>
      <c r="Q6" s="635">
        <v>200</v>
      </c>
      <c r="R6" s="635"/>
      <c r="S6" s="623">
        <v>9</v>
      </c>
      <c r="T6" s="623"/>
      <c r="U6" s="613">
        <v>0.8</v>
      </c>
      <c r="V6" s="613"/>
      <c r="W6" s="606">
        <v>7.793555002151294</v>
      </c>
      <c r="X6" s="606"/>
      <c r="Y6" s="624">
        <v>8.011517369528214</v>
      </c>
      <c r="Z6" s="624"/>
      <c r="AB6" s="449"/>
      <c r="AC6" s="449"/>
      <c r="AD6" s="450"/>
      <c r="AE6" s="451"/>
      <c r="AF6" s="451"/>
      <c r="AG6" s="451"/>
      <c r="AH6" s="451"/>
      <c r="AL6" s="309">
        <v>980.665</v>
      </c>
      <c r="AM6" s="13" t="s">
        <v>52</v>
      </c>
    </row>
    <row r="7" spans="2:34" ht="15" customHeight="1">
      <c r="B7" s="633" t="s">
        <v>138</v>
      </c>
      <c r="C7" s="633"/>
      <c r="D7" s="610">
        <v>3</v>
      </c>
      <c r="E7" s="610"/>
      <c r="F7" s="162" t="s">
        <v>11</v>
      </c>
      <c r="G7" s="14"/>
      <c r="H7" s="7"/>
      <c r="I7" s="14"/>
      <c r="P7" s="273">
        <v>2</v>
      </c>
      <c r="Q7" s="635">
        <v>350</v>
      </c>
      <c r="R7" s="635"/>
      <c r="S7" s="623">
        <v>7.5</v>
      </c>
      <c r="T7" s="623"/>
      <c r="U7" s="613">
        <v>0.65</v>
      </c>
      <c r="V7" s="613"/>
      <c r="W7" s="606">
        <v>18.32402634952551</v>
      </c>
      <c r="X7" s="606"/>
      <c r="Y7" s="624">
        <v>12.51752350357884</v>
      </c>
      <c r="Z7" s="624"/>
      <c r="AB7" s="449"/>
      <c r="AC7" s="449"/>
      <c r="AD7" s="450"/>
      <c r="AE7" s="451"/>
      <c r="AF7" s="451"/>
      <c r="AG7" s="451"/>
      <c r="AH7" s="451"/>
    </row>
    <row r="8" spans="2:34" ht="12" customHeight="1">
      <c r="B8" s="15"/>
      <c r="C8" s="15"/>
      <c r="D8" s="11"/>
      <c r="E8" s="151"/>
      <c r="F8" s="160"/>
      <c r="G8" s="14"/>
      <c r="H8" s="7"/>
      <c r="I8" s="14"/>
      <c r="J8" s="16"/>
      <c r="K8" s="16"/>
      <c r="P8" s="273">
        <v>3</v>
      </c>
      <c r="Q8" s="635">
        <v>160</v>
      </c>
      <c r="R8" s="635"/>
      <c r="S8" s="623">
        <v>9</v>
      </c>
      <c r="T8" s="623"/>
      <c r="U8" s="613">
        <v>0.8</v>
      </c>
      <c r="V8" s="613"/>
      <c r="W8" s="606">
        <v>2.3270785873795687</v>
      </c>
      <c r="X8" s="606"/>
      <c r="Y8" s="624">
        <v>3.8955950458981814</v>
      </c>
      <c r="Z8" s="624"/>
      <c r="AB8" s="449"/>
      <c r="AC8" s="449"/>
      <c r="AD8" s="450"/>
      <c r="AE8" s="451"/>
      <c r="AF8" s="451"/>
      <c r="AG8" s="451"/>
      <c r="AH8" s="451"/>
    </row>
    <row r="9" spans="2:21" ht="12" customHeight="1">
      <c r="B9" s="15"/>
      <c r="C9" s="15"/>
      <c r="D9" s="11"/>
      <c r="E9" s="151"/>
      <c r="F9" s="160"/>
      <c r="G9" s="14"/>
      <c r="H9" s="7"/>
      <c r="I9" s="14"/>
      <c r="N9" s="17"/>
      <c r="O9" s="18"/>
      <c r="P9" s="7"/>
      <c r="R9" s="7"/>
      <c r="S9" s="7"/>
      <c r="U9" s="18"/>
    </row>
    <row r="10" spans="2:19" ht="12" customHeight="1" thickBot="1">
      <c r="B10" s="15"/>
      <c r="C10" s="15"/>
      <c r="D10" s="11"/>
      <c r="E10" s="151"/>
      <c r="F10" s="160"/>
      <c r="G10" s="14"/>
      <c r="H10" s="7"/>
      <c r="I10" s="14"/>
      <c r="J10" s="14"/>
      <c r="K10" s="14"/>
      <c r="O10" s="7"/>
      <c r="P10" s="7"/>
      <c r="R10" s="7"/>
      <c r="S10" s="7"/>
    </row>
    <row r="11" spans="2:53" ht="13.5" customHeight="1">
      <c r="B11" s="58"/>
      <c r="C11" s="59"/>
      <c r="D11" s="60"/>
      <c r="E11" s="152"/>
      <c r="F11" s="152"/>
      <c r="G11" s="60"/>
      <c r="H11" s="61"/>
      <c r="I11" s="60" t="s">
        <v>47</v>
      </c>
      <c r="J11" s="60" t="s">
        <v>47</v>
      </c>
      <c r="K11" s="331" t="s">
        <v>145</v>
      </c>
      <c r="L11" s="60" t="s">
        <v>47</v>
      </c>
      <c r="M11" s="62"/>
      <c r="N11" s="61"/>
      <c r="O11" s="63"/>
      <c r="P11" s="617" t="s">
        <v>169</v>
      </c>
      <c r="Q11" s="618"/>
      <c r="R11" s="618"/>
      <c r="S11" s="618"/>
      <c r="T11" s="618"/>
      <c r="U11" s="618"/>
      <c r="V11" s="632"/>
      <c r="W11" s="614" t="s">
        <v>170</v>
      </c>
      <c r="X11" s="615"/>
      <c r="Y11" s="615"/>
      <c r="Z11" s="615"/>
      <c r="AA11" s="615"/>
      <c r="AB11" s="615"/>
      <c r="AC11" s="616"/>
      <c r="AD11" s="617" t="s">
        <v>171</v>
      </c>
      <c r="AE11" s="618"/>
      <c r="AF11" s="618"/>
      <c r="AG11" s="618"/>
      <c r="AH11" s="618"/>
      <c r="AI11" s="618"/>
      <c r="AJ11" s="619"/>
      <c r="AK11" s="434"/>
      <c r="AL11" s="620" t="s">
        <v>69</v>
      </c>
      <c r="AM11" s="621"/>
      <c r="AN11" s="621"/>
      <c r="AO11" s="621"/>
      <c r="AP11" s="621"/>
      <c r="AQ11" s="621"/>
      <c r="AR11" s="621"/>
      <c r="AS11" s="621"/>
      <c r="AT11" s="621"/>
      <c r="AU11" s="621"/>
      <c r="AV11" s="622"/>
      <c r="AW11" s="435"/>
      <c r="AX11" s="436"/>
      <c r="AY11" s="437"/>
      <c r="AZ11" s="437"/>
      <c r="BA11" s="438"/>
    </row>
    <row r="12" spans="2:53" ht="12" customHeight="1">
      <c r="B12" s="551" t="s">
        <v>0</v>
      </c>
      <c r="C12" s="578" t="s">
        <v>46</v>
      </c>
      <c r="D12" s="65" t="s">
        <v>5</v>
      </c>
      <c r="E12" s="153"/>
      <c r="F12" s="158"/>
      <c r="G12" s="66" t="s">
        <v>58</v>
      </c>
      <c r="H12" s="67" t="s">
        <v>28</v>
      </c>
      <c r="I12" s="65" t="s">
        <v>7</v>
      </c>
      <c r="J12" s="65" t="s">
        <v>70</v>
      </c>
      <c r="K12" s="65" t="s">
        <v>143</v>
      </c>
      <c r="L12" s="68"/>
      <c r="M12" s="69" t="s">
        <v>12</v>
      </c>
      <c r="N12" s="67" t="s">
        <v>16</v>
      </c>
      <c r="O12" s="70" t="s">
        <v>16</v>
      </c>
      <c r="P12" s="71" t="s">
        <v>18</v>
      </c>
      <c r="Q12" s="72" t="s">
        <v>20</v>
      </c>
      <c r="R12" s="72" t="s">
        <v>18</v>
      </c>
      <c r="S12" s="72" t="s">
        <v>193</v>
      </c>
      <c r="T12" s="317" t="s">
        <v>18</v>
      </c>
      <c r="U12" s="317" t="s">
        <v>20</v>
      </c>
      <c r="V12" s="322" t="s">
        <v>165</v>
      </c>
      <c r="W12" s="95" t="s">
        <v>18</v>
      </c>
      <c r="X12" s="317" t="s">
        <v>20</v>
      </c>
      <c r="Y12" s="317" t="s">
        <v>18</v>
      </c>
      <c r="Z12" s="432" t="s">
        <v>193</v>
      </c>
      <c r="AA12" s="432" t="s">
        <v>18</v>
      </c>
      <c r="AB12" s="317" t="s">
        <v>20</v>
      </c>
      <c r="AC12" s="317" t="s">
        <v>165</v>
      </c>
      <c r="AD12" s="95" t="s">
        <v>18</v>
      </c>
      <c r="AE12" s="317" t="s">
        <v>20</v>
      </c>
      <c r="AF12" s="317" t="s">
        <v>18</v>
      </c>
      <c r="AG12" s="317" t="s">
        <v>193</v>
      </c>
      <c r="AH12" s="317" t="s">
        <v>18</v>
      </c>
      <c r="AI12" s="431" t="s">
        <v>20</v>
      </c>
      <c r="AJ12" s="433" t="s">
        <v>165</v>
      </c>
      <c r="AL12" s="294" t="s">
        <v>49</v>
      </c>
      <c r="AM12" s="40" t="s">
        <v>53</v>
      </c>
      <c r="AN12" s="625" t="s">
        <v>169</v>
      </c>
      <c r="AO12" s="626"/>
      <c r="AP12" s="627"/>
      <c r="AQ12" s="625" t="s">
        <v>170</v>
      </c>
      <c r="AR12" s="626"/>
      <c r="AS12" s="627"/>
      <c r="AT12" s="625" t="s">
        <v>171</v>
      </c>
      <c r="AU12" s="626"/>
      <c r="AV12" s="627"/>
      <c r="AW12" s="40"/>
      <c r="AX12" s="40"/>
      <c r="AY12" s="40" t="s">
        <v>80</v>
      </c>
      <c r="AZ12" s="41" t="s">
        <v>81</v>
      </c>
      <c r="BA12" s="42" t="s">
        <v>84</v>
      </c>
    </row>
    <row r="13" spans="2:53" ht="12" customHeight="1">
      <c r="B13" s="551"/>
      <c r="C13" s="578"/>
      <c r="D13" s="65" t="s">
        <v>6</v>
      </c>
      <c r="E13" s="153" t="s">
        <v>13</v>
      </c>
      <c r="F13" s="158" t="s">
        <v>14</v>
      </c>
      <c r="G13" s="66" t="s">
        <v>59</v>
      </c>
      <c r="H13" s="64" t="s">
        <v>82</v>
      </c>
      <c r="I13" s="65" t="s">
        <v>8</v>
      </c>
      <c r="J13" s="65" t="s">
        <v>9</v>
      </c>
      <c r="K13" s="65" t="s">
        <v>144</v>
      </c>
      <c r="L13" s="68" t="s">
        <v>15</v>
      </c>
      <c r="M13" s="76" t="s">
        <v>1</v>
      </c>
      <c r="N13" s="64" t="s">
        <v>1</v>
      </c>
      <c r="O13" s="77" t="s">
        <v>1</v>
      </c>
      <c r="P13" s="71" t="s">
        <v>19</v>
      </c>
      <c r="Q13" s="72" t="s">
        <v>21</v>
      </c>
      <c r="R13" s="72" t="s">
        <v>23</v>
      </c>
      <c r="S13" s="72" t="s">
        <v>194</v>
      </c>
      <c r="T13" s="72" t="s">
        <v>25</v>
      </c>
      <c r="U13" s="72" t="s">
        <v>173</v>
      </c>
      <c r="V13" s="73" t="s">
        <v>166</v>
      </c>
      <c r="W13" s="71" t="s">
        <v>19</v>
      </c>
      <c r="X13" s="72" t="s">
        <v>21</v>
      </c>
      <c r="Y13" s="72" t="s">
        <v>23</v>
      </c>
      <c r="Z13" s="90" t="s">
        <v>194</v>
      </c>
      <c r="AA13" s="90" t="s">
        <v>25</v>
      </c>
      <c r="AB13" s="72" t="s">
        <v>173</v>
      </c>
      <c r="AC13" s="72" t="s">
        <v>166</v>
      </c>
      <c r="AD13" s="71" t="s">
        <v>19</v>
      </c>
      <c r="AE13" s="72" t="s">
        <v>21</v>
      </c>
      <c r="AF13" s="72" t="s">
        <v>23</v>
      </c>
      <c r="AG13" s="72" t="s">
        <v>194</v>
      </c>
      <c r="AH13" s="72" t="s">
        <v>25</v>
      </c>
      <c r="AI13" s="74" t="s">
        <v>173</v>
      </c>
      <c r="AJ13" s="326" t="s">
        <v>166</v>
      </c>
      <c r="AL13" s="294" t="s">
        <v>50</v>
      </c>
      <c r="AM13" s="43" t="s">
        <v>83</v>
      </c>
      <c r="AN13" s="40"/>
      <c r="AO13" s="40" t="s">
        <v>73</v>
      </c>
      <c r="AP13" s="40" t="s">
        <v>74</v>
      </c>
      <c r="AQ13" s="40"/>
      <c r="AR13" s="40" t="s">
        <v>73</v>
      </c>
      <c r="AS13" s="40" t="s">
        <v>74</v>
      </c>
      <c r="AT13" s="40"/>
      <c r="AU13" s="40" t="s">
        <v>73</v>
      </c>
      <c r="AV13" s="40" t="s">
        <v>74</v>
      </c>
      <c r="AW13" s="40" t="s">
        <v>76</v>
      </c>
      <c r="AX13" s="40" t="s">
        <v>77</v>
      </c>
      <c r="AY13" s="44"/>
      <c r="AZ13" s="45"/>
      <c r="BA13" s="46"/>
    </row>
    <row r="14" spans="2:53" ht="13.5">
      <c r="B14" s="78" t="s">
        <v>2</v>
      </c>
      <c r="C14" s="79"/>
      <c r="D14" s="79" t="s">
        <v>10</v>
      </c>
      <c r="E14" s="154"/>
      <c r="F14" s="159" t="s">
        <v>45</v>
      </c>
      <c r="G14" s="80" t="s">
        <v>60</v>
      </c>
      <c r="H14" s="81" t="s">
        <v>29</v>
      </c>
      <c r="I14" s="82" t="s">
        <v>71</v>
      </c>
      <c r="J14" s="82" t="s">
        <v>71</v>
      </c>
      <c r="K14" s="82" t="s">
        <v>146</v>
      </c>
      <c r="L14" s="83"/>
      <c r="M14" s="81"/>
      <c r="N14" s="81" t="s">
        <v>17</v>
      </c>
      <c r="O14" s="84"/>
      <c r="P14" s="85"/>
      <c r="Q14" s="86" t="s">
        <v>22</v>
      </c>
      <c r="R14" s="86" t="s">
        <v>24</v>
      </c>
      <c r="S14" s="86" t="s">
        <v>196</v>
      </c>
      <c r="T14" s="86" t="s">
        <v>26</v>
      </c>
      <c r="U14" s="86" t="s">
        <v>38</v>
      </c>
      <c r="V14" s="87" t="s">
        <v>167</v>
      </c>
      <c r="W14" s="88"/>
      <c r="X14" s="86" t="s">
        <v>22</v>
      </c>
      <c r="Y14" s="86" t="s">
        <v>24</v>
      </c>
      <c r="Z14" s="91" t="s">
        <v>196</v>
      </c>
      <c r="AA14" s="91" t="s">
        <v>26</v>
      </c>
      <c r="AB14" s="86" t="s">
        <v>172</v>
      </c>
      <c r="AC14" s="86" t="s">
        <v>168</v>
      </c>
      <c r="AD14" s="85"/>
      <c r="AE14" s="86" t="s">
        <v>22</v>
      </c>
      <c r="AF14" s="86" t="s">
        <v>24</v>
      </c>
      <c r="AG14" s="86" t="s">
        <v>196</v>
      </c>
      <c r="AH14" s="86" t="s">
        <v>26</v>
      </c>
      <c r="AI14" s="88" t="s">
        <v>172</v>
      </c>
      <c r="AJ14" s="327" t="s">
        <v>168</v>
      </c>
      <c r="AL14" s="295" t="s">
        <v>48</v>
      </c>
      <c r="AM14" s="47" t="s">
        <v>54</v>
      </c>
      <c r="AN14" s="47" t="s">
        <v>85</v>
      </c>
      <c r="AO14" s="47" t="s">
        <v>72</v>
      </c>
      <c r="AP14" s="47" t="s">
        <v>75</v>
      </c>
      <c r="AQ14" s="47" t="s">
        <v>85</v>
      </c>
      <c r="AR14" s="47" t="s">
        <v>72</v>
      </c>
      <c r="AS14" s="47" t="s">
        <v>75</v>
      </c>
      <c r="AT14" s="47" t="s">
        <v>85</v>
      </c>
      <c r="AU14" s="47" t="s">
        <v>72</v>
      </c>
      <c r="AV14" s="47" t="s">
        <v>75</v>
      </c>
      <c r="AW14" s="47" t="s">
        <v>86</v>
      </c>
      <c r="AX14" s="47" t="s">
        <v>87</v>
      </c>
      <c r="AY14" s="304"/>
      <c r="AZ14" s="48"/>
      <c r="BA14" s="49"/>
    </row>
    <row r="15" spans="1:53" ht="13.5">
      <c r="A15" s="19" t="s">
        <v>125</v>
      </c>
      <c r="B15" s="163">
        <v>0.5</v>
      </c>
      <c r="C15" s="164" t="s">
        <v>139</v>
      </c>
      <c r="D15" s="165">
        <v>66</v>
      </c>
      <c r="E15" s="166">
        <v>2</v>
      </c>
      <c r="F15" s="166">
        <v>100</v>
      </c>
      <c r="G15" s="167" t="s">
        <v>125</v>
      </c>
      <c r="H15" s="167" t="s">
        <v>125</v>
      </c>
      <c r="I15" s="24">
        <v>7.84</v>
      </c>
      <c r="J15" s="24">
        <v>7.84</v>
      </c>
      <c r="K15" s="24">
        <v>7.84</v>
      </c>
      <c r="L15" s="25">
        <v>0.9925</v>
      </c>
      <c r="M15" s="24">
        <v>7.0710678118654755</v>
      </c>
      <c r="N15" s="24">
        <v>12.600000000000001</v>
      </c>
      <c r="O15" s="26">
        <v>19.671067811865477</v>
      </c>
      <c r="P15" s="440">
        <v>0.22991732456389444</v>
      </c>
      <c r="Q15" s="28">
        <v>0.16193093462089503</v>
      </c>
      <c r="R15" s="28" t="s">
        <v>125</v>
      </c>
      <c r="S15" s="101" t="s">
        <v>125</v>
      </c>
      <c r="T15" s="318" t="s">
        <v>125</v>
      </c>
      <c r="U15" s="28" t="s">
        <v>125</v>
      </c>
      <c r="V15" s="323" t="s">
        <v>125</v>
      </c>
      <c r="W15" s="440">
        <v>0.22991732456389444</v>
      </c>
      <c r="X15" s="28">
        <v>0.23024554766408514</v>
      </c>
      <c r="Y15" s="28" t="s">
        <v>125</v>
      </c>
      <c r="Z15" s="102" t="s">
        <v>125</v>
      </c>
      <c r="AA15" s="92" t="s">
        <v>125</v>
      </c>
      <c r="AB15" s="28" t="s">
        <v>125</v>
      </c>
      <c r="AC15" s="28" t="s">
        <v>125</v>
      </c>
      <c r="AD15" s="440">
        <v>0.22991732456389444</v>
      </c>
      <c r="AE15" s="28">
        <v>0.129544747696716</v>
      </c>
      <c r="AF15" s="28" t="s">
        <v>125</v>
      </c>
      <c r="AG15" s="101" t="s">
        <v>125</v>
      </c>
      <c r="AH15" s="318" t="s">
        <v>125</v>
      </c>
      <c r="AI15" s="30" t="s">
        <v>125</v>
      </c>
      <c r="AJ15" s="328" t="s">
        <v>125</v>
      </c>
      <c r="AL15" s="296">
        <v>1</v>
      </c>
      <c r="AM15" s="44">
        <v>1</v>
      </c>
      <c r="AN15" s="50" t="s">
        <v>125</v>
      </c>
      <c r="AO15" s="51" t="s">
        <v>125</v>
      </c>
      <c r="AP15" s="51" t="s">
        <v>125</v>
      </c>
      <c r="AQ15" s="50" t="s">
        <v>125</v>
      </c>
      <c r="AR15" s="51" t="s">
        <v>125</v>
      </c>
      <c r="AS15" s="51" t="s">
        <v>125</v>
      </c>
      <c r="AT15" s="50" t="s">
        <v>125</v>
      </c>
      <c r="AU15" s="51" t="s">
        <v>125</v>
      </c>
      <c r="AV15" s="51" t="s">
        <v>125</v>
      </c>
      <c r="AW15" s="52">
        <v>1</v>
      </c>
      <c r="AX15" s="52">
        <v>3</v>
      </c>
      <c r="AY15" s="44" t="s">
        <v>125</v>
      </c>
      <c r="AZ15" s="45" t="s">
        <v>125</v>
      </c>
      <c r="BA15" s="46" t="s">
        <v>125</v>
      </c>
    </row>
    <row r="16" spans="1:53" ht="13.5">
      <c r="A16" s="19" t="s">
        <v>125</v>
      </c>
      <c r="B16" s="163">
        <v>1</v>
      </c>
      <c r="C16" s="164" t="s">
        <v>139</v>
      </c>
      <c r="D16" s="165">
        <v>66</v>
      </c>
      <c r="E16" s="166">
        <v>2</v>
      </c>
      <c r="F16" s="166">
        <v>100</v>
      </c>
      <c r="G16" s="167" t="s">
        <v>125</v>
      </c>
      <c r="H16" s="167" t="s">
        <v>125</v>
      </c>
      <c r="I16" s="24">
        <v>15.68</v>
      </c>
      <c r="J16" s="24">
        <v>15.68</v>
      </c>
      <c r="K16" s="24">
        <v>15.68</v>
      </c>
      <c r="L16" s="25">
        <v>0.985</v>
      </c>
      <c r="M16" s="24">
        <v>5</v>
      </c>
      <c r="N16" s="24">
        <v>12.600000000000001</v>
      </c>
      <c r="O16" s="26">
        <v>17.6</v>
      </c>
      <c r="P16" s="27">
        <v>0.19415591727135234</v>
      </c>
      <c r="Q16" s="28">
        <v>0.16070727516532152</v>
      </c>
      <c r="R16" s="28" t="s">
        <v>125</v>
      </c>
      <c r="S16" s="101" t="s">
        <v>125</v>
      </c>
      <c r="T16" s="318" t="s">
        <v>125</v>
      </c>
      <c r="U16" s="28" t="s">
        <v>125</v>
      </c>
      <c r="V16" s="323" t="s">
        <v>125</v>
      </c>
      <c r="W16" s="27">
        <v>0.19415591727135234</v>
      </c>
      <c r="X16" s="28">
        <v>0.22850565687569152</v>
      </c>
      <c r="Y16" s="28" t="s">
        <v>125</v>
      </c>
      <c r="Z16" s="102" t="s">
        <v>125</v>
      </c>
      <c r="AA16" s="92" t="s">
        <v>125</v>
      </c>
      <c r="AB16" s="28" t="s">
        <v>125</v>
      </c>
      <c r="AC16" s="28" t="s">
        <v>125</v>
      </c>
      <c r="AD16" s="27">
        <v>0.19415591727135234</v>
      </c>
      <c r="AE16" s="28">
        <v>0.12856582013225717</v>
      </c>
      <c r="AF16" s="28" t="s">
        <v>125</v>
      </c>
      <c r="AG16" s="101" t="s">
        <v>125</v>
      </c>
      <c r="AH16" s="318" t="s">
        <v>125</v>
      </c>
      <c r="AI16" s="30" t="s">
        <v>125</v>
      </c>
      <c r="AJ16" s="328" t="s">
        <v>125</v>
      </c>
      <c r="AL16" s="296">
        <v>1</v>
      </c>
      <c r="AM16" s="44">
        <v>1</v>
      </c>
      <c r="AN16" s="50" t="s">
        <v>125</v>
      </c>
      <c r="AO16" s="51" t="s">
        <v>125</v>
      </c>
      <c r="AP16" s="51" t="s">
        <v>125</v>
      </c>
      <c r="AQ16" s="50" t="s">
        <v>125</v>
      </c>
      <c r="AR16" s="51" t="s">
        <v>125</v>
      </c>
      <c r="AS16" s="51" t="s">
        <v>125</v>
      </c>
      <c r="AT16" s="50" t="s">
        <v>125</v>
      </c>
      <c r="AU16" s="51" t="s">
        <v>125</v>
      </c>
      <c r="AV16" s="51" t="s">
        <v>125</v>
      </c>
      <c r="AW16" s="52">
        <v>1</v>
      </c>
      <c r="AX16" s="52">
        <v>3</v>
      </c>
      <c r="AY16" s="44" t="s">
        <v>125</v>
      </c>
      <c r="AZ16" s="45" t="s">
        <v>125</v>
      </c>
      <c r="BA16" s="46" t="s">
        <v>125</v>
      </c>
    </row>
    <row r="17" spans="1:53" ht="13.5">
      <c r="A17" s="19" t="s">
        <v>125</v>
      </c>
      <c r="B17" s="163">
        <v>1.5</v>
      </c>
      <c r="C17" s="164" t="s">
        <v>96</v>
      </c>
      <c r="D17" s="165">
        <v>21</v>
      </c>
      <c r="E17" s="166">
        <v>4</v>
      </c>
      <c r="F17" s="166">
        <v>100</v>
      </c>
      <c r="G17" s="167" t="s">
        <v>125</v>
      </c>
      <c r="H17" s="167" t="s">
        <v>125</v>
      </c>
      <c r="I17" s="24">
        <v>23.52</v>
      </c>
      <c r="J17" s="24">
        <v>23.52</v>
      </c>
      <c r="K17" s="24">
        <v>18.619999999999997</v>
      </c>
      <c r="L17" s="25">
        <v>0.9775</v>
      </c>
      <c r="M17" s="24">
        <v>9.17662935482247</v>
      </c>
      <c r="N17" s="24">
        <v>8.1</v>
      </c>
      <c r="O17" s="26">
        <v>17.276629354822468</v>
      </c>
      <c r="P17" s="27">
        <v>0.1898906869517397</v>
      </c>
      <c r="Q17" s="28">
        <v>0.159483615709748</v>
      </c>
      <c r="R17" s="28" t="s">
        <v>125</v>
      </c>
      <c r="S17" s="101" t="s">
        <v>125</v>
      </c>
      <c r="T17" s="318" t="s">
        <v>125</v>
      </c>
      <c r="U17" s="28" t="s">
        <v>125</v>
      </c>
      <c r="V17" s="323" t="s">
        <v>125</v>
      </c>
      <c r="W17" s="27">
        <v>0.1898906869517397</v>
      </c>
      <c r="X17" s="28">
        <v>0.22676576608729795</v>
      </c>
      <c r="Y17" s="28" t="s">
        <v>125</v>
      </c>
      <c r="Z17" s="102" t="s">
        <v>125</v>
      </c>
      <c r="AA17" s="92" t="s">
        <v>125</v>
      </c>
      <c r="AB17" s="28" t="s">
        <v>125</v>
      </c>
      <c r="AC17" s="28" t="s">
        <v>125</v>
      </c>
      <c r="AD17" s="27">
        <v>0.1898906869517397</v>
      </c>
      <c r="AE17" s="28">
        <v>0.12758689256779837</v>
      </c>
      <c r="AF17" s="28" t="s">
        <v>125</v>
      </c>
      <c r="AG17" s="101" t="s">
        <v>125</v>
      </c>
      <c r="AH17" s="318" t="s">
        <v>125</v>
      </c>
      <c r="AI17" s="30" t="s">
        <v>125</v>
      </c>
      <c r="AJ17" s="328" t="s">
        <v>125</v>
      </c>
      <c r="AL17" s="296">
        <v>1</v>
      </c>
      <c r="AM17" s="44">
        <v>1</v>
      </c>
      <c r="AN17" s="50" t="s">
        <v>125</v>
      </c>
      <c r="AO17" s="51" t="s">
        <v>125</v>
      </c>
      <c r="AP17" s="51" t="s">
        <v>125</v>
      </c>
      <c r="AQ17" s="50" t="s">
        <v>125</v>
      </c>
      <c r="AR17" s="51" t="s">
        <v>125</v>
      </c>
      <c r="AS17" s="51" t="s">
        <v>125</v>
      </c>
      <c r="AT17" s="50" t="s">
        <v>125</v>
      </c>
      <c r="AU17" s="51" t="s">
        <v>125</v>
      </c>
      <c r="AV17" s="51" t="s">
        <v>125</v>
      </c>
      <c r="AW17" s="52">
        <v>1</v>
      </c>
      <c r="AX17" s="52">
        <v>3</v>
      </c>
      <c r="AY17" s="44" t="s">
        <v>125</v>
      </c>
      <c r="AZ17" s="45" t="s">
        <v>125</v>
      </c>
      <c r="BA17" s="46" t="s">
        <v>125</v>
      </c>
    </row>
    <row r="18" spans="1:53" ht="13.5">
      <c r="A18" s="19" t="s">
        <v>125</v>
      </c>
      <c r="B18" s="163">
        <v>2</v>
      </c>
      <c r="C18" s="164" t="s">
        <v>96</v>
      </c>
      <c r="D18" s="165">
        <v>21</v>
      </c>
      <c r="E18" s="166">
        <v>5</v>
      </c>
      <c r="F18" s="166">
        <v>100</v>
      </c>
      <c r="G18" s="167" t="s">
        <v>125</v>
      </c>
      <c r="H18" s="167" t="s">
        <v>125</v>
      </c>
      <c r="I18" s="24">
        <v>31.36</v>
      </c>
      <c r="J18" s="24">
        <v>31.36</v>
      </c>
      <c r="K18" s="24">
        <v>21.56</v>
      </c>
      <c r="L18" s="25">
        <v>0.97</v>
      </c>
      <c r="M18" s="24">
        <v>10.660035817780521</v>
      </c>
      <c r="N18" s="24">
        <v>8.1</v>
      </c>
      <c r="O18" s="26">
        <v>18.76003581778052</v>
      </c>
      <c r="P18" s="27">
        <v>0.21212307026237454</v>
      </c>
      <c r="Q18" s="28">
        <v>0.15825995625417447</v>
      </c>
      <c r="R18" s="28" t="s">
        <v>125</v>
      </c>
      <c r="S18" s="101" t="s">
        <v>125</v>
      </c>
      <c r="T18" s="318" t="s">
        <v>125</v>
      </c>
      <c r="U18" s="28" t="s">
        <v>125</v>
      </c>
      <c r="V18" s="323" t="s">
        <v>125</v>
      </c>
      <c r="W18" s="27">
        <v>0.21212307026237454</v>
      </c>
      <c r="X18" s="28">
        <v>0.22502587529890433</v>
      </c>
      <c r="Y18" s="28" t="s">
        <v>125</v>
      </c>
      <c r="Z18" s="102" t="s">
        <v>125</v>
      </c>
      <c r="AA18" s="92" t="s">
        <v>125</v>
      </c>
      <c r="AB18" s="28" t="s">
        <v>125</v>
      </c>
      <c r="AC18" s="28" t="s">
        <v>125</v>
      </c>
      <c r="AD18" s="27">
        <v>0.21212307026237454</v>
      </c>
      <c r="AE18" s="28">
        <v>0.12660796500333957</v>
      </c>
      <c r="AF18" s="28" t="s">
        <v>125</v>
      </c>
      <c r="AG18" s="101" t="s">
        <v>125</v>
      </c>
      <c r="AH18" s="318" t="s">
        <v>125</v>
      </c>
      <c r="AI18" s="30" t="s">
        <v>125</v>
      </c>
      <c r="AJ18" s="328" t="s">
        <v>125</v>
      </c>
      <c r="AL18" s="296">
        <v>1</v>
      </c>
      <c r="AM18" s="44">
        <v>1</v>
      </c>
      <c r="AN18" s="50" t="s">
        <v>125</v>
      </c>
      <c r="AO18" s="51" t="s">
        <v>125</v>
      </c>
      <c r="AP18" s="51" t="s">
        <v>125</v>
      </c>
      <c r="AQ18" s="50" t="s">
        <v>125</v>
      </c>
      <c r="AR18" s="51" t="s">
        <v>125</v>
      </c>
      <c r="AS18" s="51" t="s">
        <v>125</v>
      </c>
      <c r="AT18" s="50" t="s">
        <v>125</v>
      </c>
      <c r="AU18" s="51" t="s">
        <v>125</v>
      </c>
      <c r="AV18" s="51" t="s">
        <v>125</v>
      </c>
      <c r="AW18" s="52">
        <v>1</v>
      </c>
      <c r="AX18" s="52">
        <v>3</v>
      </c>
      <c r="AY18" s="44" t="s">
        <v>125</v>
      </c>
      <c r="AZ18" s="45" t="s">
        <v>125</v>
      </c>
      <c r="BA18" s="46" t="s">
        <v>125</v>
      </c>
    </row>
    <row r="19" spans="1:53" ht="13.5">
      <c r="A19" s="19" t="s">
        <v>125</v>
      </c>
      <c r="B19" s="163">
        <v>2.5</v>
      </c>
      <c r="C19" s="164" t="s">
        <v>96</v>
      </c>
      <c r="D19" s="165">
        <v>21</v>
      </c>
      <c r="E19" s="166">
        <v>5</v>
      </c>
      <c r="F19" s="166">
        <v>100</v>
      </c>
      <c r="G19" s="167" t="s">
        <v>125</v>
      </c>
      <c r="H19" s="167" t="s">
        <v>125</v>
      </c>
      <c r="I19" s="24">
        <v>39.345</v>
      </c>
      <c r="J19" s="24">
        <v>39.345</v>
      </c>
      <c r="K19" s="24">
        <v>24.644999999999996</v>
      </c>
      <c r="L19" s="25">
        <v>0.9625</v>
      </c>
      <c r="M19" s="24">
        <v>9.970538870300404</v>
      </c>
      <c r="N19" s="24">
        <v>8.1</v>
      </c>
      <c r="O19" s="26">
        <v>18.070538870300403</v>
      </c>
      <c r="P19" s="27">
        <v>0.2009014627203682</v>
      </c>
      <c r="Q19" s="28">
        <v>0.15703629679860098</v>
      </c>
      <c r="R19" s="28" t="s">
        <v>125</v>
      </c>
      <c r="S19" s="101" t="s">
        <v>125</v>
      </c>
      <c r="T19" s="319" t="s">
        <v>125</v>
      </c>
      <c r="U19" s="28" t="s">
        <v>125</v>
      </c>
      <c r="V19" s="323" t="s">
        <v>125</v>
      </c>
      <c r="W19" s="27">
        <v>0.2009014627203682</v>
      </c>
      <c r="X19" s="28">
        <v>0.22328598451051077</v>
      </c>
      <c r="Y19" s="28" t="s">
        <v>125</v>
      </c>
      <c r="Z19" s="102" t="s">
        <v>125</v>
      </c>
      <c r="AA19" s="93" t="s">
        <v>125</v>
      </c>
      <c r="AB19" s="28" t="s">
        <v>125</v>
      </c>
      <c r="AC19" s="28" t="s">
        <v>125</v>
      </c>
      <c r="AD19" s="27">
        <v>0.2009014627203682</v>
      </c>
      <c r="AE19" s="28">
        <v>0.12562903743888076</v>
      </c>
      <c r="AF19" s="28" t="s">
        <v>125</v>
      </c>
      <c r="AG19" s="101" t="s">
        <v>125</v>
      </c>
      <c r="AH19" s="319" t="s">
        <v>125</v>
      </c>
      <c r="AI19" s="30" t="s">
        <v>125</v>
      </c>
      <c r="AJ19" s="328" t="s">
        <v>125</v>
      </c>
      <c r="AL19" s="296">
        <v>1</v>
      </c>
      <c r="AM19" s="44">
        <v>1</v>
      </c>
      <c r="AN19" s="50" t="s">
        <v>125</v>
      </c>
      <c r="AO19" s="51" t="s">
        <v>125</v>
      </c>
      <c r="AP19" s="51" t="s">
        <v>125</v>
      </c>
      <c r="AQ19" s="50" t="s">
        <v>125</v>
      </c>
      <c r="AR19" s="51" t="s">
        <v>125</v>
      </c>
      <c r="AS19" s="51" t="s">
        <v>125</v>
      </c>
      <c r="AT19" s="50" t="s">
        <v>125</v>
      </c>
      <c r="AU19" s="51" t="s">
        <v>125</v>
      </c>
      <c r="AV19" s="51" t="s">
        <v>125</v>
      </c>
      <c r="AW19" s="52">
        <v>1</v>
      </c>
      <c r="AX19" s="52">
        <v>3</v>
      </c>
      <c r="AY19" s="44" t="s">
        <v>125</v>
      </c>
      <c r="AZ19" s="45" t="s">
        <v>125</v>
      </c>
      <c r="BA19" s="46" t="s">
        <v>125</v>
      </c>
    </row>
    <row r="20" spans="1:53" ht="13.5">
      <c r="A20" s="19" t="s">
        <v>125</v>
      </c>
      <c r="B20" s="163">
        <v>3</v>
      </c>
      <c r="C20" s="164" t="s">
        <v>96</v>
      </c>
      <c r="D20" s="165">
        <v>21</v>
      </c>
      <c r="E20" s="166">
        <v>5</v>
      </c>
      <c r="F20" s="166">
        <v>100</v>
      </c>
      <c r="G20" s="167" t="s">
        <v>125</v>
      </c>
      <c r="H20" s="167" t="s">
        <v>125</v>
      </c>
      <c r="I20" s="24">
        <v>47.33</v>
      </c>
      <c r="J20" s="24">
        <v>47.33</v>
      </c>
      <c r="K20" s="24">
        <v>27.729999999999997</v>
      </c>
      <c r="L20" s="25">
        <v>0.955</v>
      </c>
      <c r="M20" s="24">
        <v>9.399572616904152</v>
      </c>
      <c r="N20" s="24">
        <v>8.1</v>
      </c>
      <c r="O20" s="26">
        <v>17.499572616904153</v>
      </c>
      <c r="P20" s="27">
        <v>0.19280080804387115</v>
      </c>
      <c r="Q20" s="28">
        <v>0.15581263734302744</v>
      </c>
      <c r="R20" s="28" t="s">
        <v>125</v>
      </c>
      <c r="S20" s="101" t="s">
        <v>125</v>
      </c>
      <c r="T20" s="319" t="s">
        <v>125</v>
      </c>
      <c r="U20" s="28" t="s">
        <v>125</v>
      </c>
      <c r="V20" s="323" t="s">
        <v>125</v>
      </c>
      <c r="W20" s="27">
        <v>0.19280080804387115</v>
      </c>
      <c r="X20" s="28">
        <v>0.22154609372211717</v>
      </c>
      <c r="Y20" s="28" t="s">
        <v>125</v>
      </c>
      <c r="Z20" s="102" t="s">
        <v>125</v>
      </c>
      <c r="AA20" s="93" t="s">
        <v>125</v>
      </c>
      <c r="AB20" s="28" t="s">
        <v>125</v>
      </c>
      <c r="AC20" s="28" t="s">
        <v>125</v>
      </c>
      <c r="AD20" s="27">
        <v>0.19280080804387115</v>
      </c>
      <c r="AE20" s="28">
        <v>0.12465010987442193</v>
      </c>
      <c r="AF20" s="28" t="s">
        <v>125</v>
      </c>
      <c r="AG20" s="101" t="s">
        <v>125</v>
      </c>
      <c r="AH20" s="319" t="s">
        <v>125</v>
      </c>
      <c r="AI20" s="30" t="s">
        <v>125</v>
      </c>
      <c r="AJ20" s="328" t="s">
        <v>125</v>
      </c>
      <c r="AL20" s="296">
        <v>1</v>
      </c>
      <c r="AM20" s="44">
        <v>1</v>
      </c>
      <c r="AN20" s="50" t="s">
        <v>125</v>
      </c>
      <c r="AO20" s="51" t="s">
        <v>125</v>
      </c>
      <c r="AP20" s="51" t="s">
        <v>125</v>
      </c>
      <c r="AQ20" s="50" t="s">
        <v>125</v>
      </c>
      <c r="AR20" s="51" t="s">
        <v>125</v>
      </c>
      <c r="AS20" s="51" t="s">
        <v>125</v>
      </c>
      <c r="AT20" s="50" t="s">
        <v>125</v>
      </c>
      <c r="AU20" s="51" t="s">
        <v>125</v>
      </c>
      <c r="AV20" s="51" t="s">
        <v>125</v>
      </c>
      <c r="AW20" s="52">
        <v>1</v>
      </c>
      <c r="AX20" s="52">
        <v>3</v>
      </c>
      <c r="AY20" s="44" t="s">
        <v>125</v>
      </c>
      <c r="AZ20" s="45" t="s">
        <v>125</v>
      </c>
      <c r="BA20" s="46" t="s">
        <v>125</v>
      </c>
    </row>
    <row r="21" spans="1:53" ht="13.5">
      <c r="A21" s="19">
        <v>1</v>
      </c>
      <c r="B21" s="163">
        <v>3.5</v>
      </c>
      <c r="C21" s="164" t="s">
        <v>96</v>
      </c>
      <c r="D21" s="165">
        <v>21</v>
      </c>
      <c r="E21" s="166">
        <v>5</v>
      </c>
      <c r="F21" s="166">
        <v>95</v>
      </c>
      <c r="G21" s="167" t="s">
        <v>125</v>
      </c>
      <c r="H21" s="167" t="s">
        <v>157</v>
      </c>
      <c r="I21" s="24">
        <v>55.315</v>
      </c>
      <c r="J21" s="24">
        <v>50.415</v>
      </c>
      <c r="K21" s="24">
        <v>30.814999999999998</v>
      </c>
      <c r="L21" s="25">
        <v>0.9475</v>
      </c>
      <c r="M21" s="24">
        <v>8.91665485109586</v>
      </c>
      <c r="N21" s="24">
        <v>8.1</v>
      </c>
      <c r="O21" s="26">
        <v>17.016654851095858</v>
      </c>
      <c r="P21" s="27">
        <v>0.2799872968614214</v>
      </c>
      <c r="Q21" s="28">
        <v>0.16961399011890338</v>
      </c>
      <c r="R21" s="28">
        <v>1.6507323285369546</v>
      </c>
      <c r="S21" s="101" t="s">
        <v>125</v>
      </c>
      <c r="T21" s="319" t="s">
        <v>125</v>
      </c>
      <c r="U21" s="28" t="s">
        <v>125</v>
      </c>
      <c r="V21" s="323" t="s">
        <v>125</v>
      </c>
      <c r="W21" s="27">
        <v>0.2799872968614214</v>
      </c>
      <c r="X21" s="28">
        <v>0.2411698922003158</v>
      </c>
      <c r="Y21" s="28">
        <v>1.1609546046853305</v>
      </c>
      <c r="Z21" s="102" t="s">
        <v>125</v>
      </c>
      <c r="AA21" s="93" t="s">
        <v>125</v>
      </c>
      <c r="AB21" s="28" t="s">
        <v>125</v>
      </c>
      <c r="AC21" s="28" t="s">
        <v>125</v>
      </c>
      <c r="AD21" s="27">
        <v>0.2799872968614214</v>
      </c>
      <c r="AE21" s="28">
        <v>0.1356911920951227</v>
      </c>
      <c r="AF21" s="28">
        <v>2.063415410671193</v>
      </c>
      <c r="AG21" s="101" t="s">
        <v>125</v>
      </c>
      <c r="AH21" s="319" t="s">
        <v>125</v>
      </c>
      <c r="AI21" s="30" t="s">
        <v>125</v>
      </c>
      <c r="AJ21" s="328" t="s">
        <v>125</v>
      </c>
      <c r="AL21" s="296">
        <v>1</v>
      </c>
      <c r="AM21" s="44">
        <v>1.5</v>
      </c>
      <c r="AN21" s="50">
        <v>0.6507323285369546</v>
      </c>
      <c r="AO21" s="51">
        <v>0.6507323285369546</v>
      </c>
      <c r="AP21" s="51">
        <v>0</v>
      </c>
      <c r="AQ21" s="50">
        <v>0.16095460468533052</v>
      </c>
      <c r="AR21" s="51">
        <v>0.16095460468533052</v>
      </c>
      <c r="AS21" s="51">
        <v>0</v>
      </c>
      <c r="AT21" s="50">
        <v>1.063415410671193</v>
      </c>
      <c r="AU21" s="51">
        <v>1.063415410671193</v>
      </c>
      <c r="AV21" s="51">
        <v>0</v>
      </c>
      <c r="AW21" s="52">
        <v>1</v>
      </c>
      <c r="AX21" s="52">
        <v>3</v>
      </c>
      <c r="AY21" s="44" t="s">
        <v>125</v>
      </c>
      <c r="AZ21" s="45" t="s">
        <v>125</v>
      </c>
      <c r="BA21" s="46" t="s">
        <v>125</v>
      </c>
    </row>
    <row r="22" spans="1:53" ht="13.5">
      <c r="A22" s="19">
        <v>1</v>
      </c>
      <c r="B22" s="163">
        <v>4</v>
      </c>
      <c r="C22" s="164" t="s">
        <v>96</v>
      </c>
      <c r="D22" s="165">
        <v>21</v>
      </c>
      <c r="E22" s="166">
        <v>5</v>
      </c>
      <c r="F22" s="166">
        <v>95</v>
      </c>
      <c r="G22" s="167" t="s">
        <v>125</v>
      </c>
      <c r="H22" s="167" t="s">
        <v>157</v>
      </c>
      <c r="I22" s="24">
        <v>63.3</v>
      </c>
      <c r="J22" s="24">
        <v>53.5</v>
      </c>
      <c r="K22" s="24">
        <v>33.89999999999999</v>
      </c>
      <c r="L22" s="25">
        <v>0.94</v>
      </c>
      <c r="M22" s="24">
        <v>8.501257932252056</v>
      </c>
      <c r="N22" s="24">
        <v>8.1</v>
      </c>
      <c r="O22" s="26">
        <v>16.601257932252054</v>
      </c>
      <c r="P22" s="27">
        <v>0.27273114490676387</v>
      </c>
      <c r="Q22" s="28">
        <v>0.1814584047988417</v>
      </c>
      <c r="R22" s="28">
        <v>1.5029953845847144</v>
      </c>
      <c r="S22" s="101" t="s">
        <v>125</v>
      </c>
      <c r="T22" s="319" t="s">
        <v>125</v>
      </c>
      <c r="U22" s="28" t="s">
        <v>125</v>
      </c>
      <c r="V22" s="323" t="s">
        <v>125</v>
      </c>
      <c r="W22" s="27">
        <v>0.27273114490676387</v>
      </c>
      <c r="X22" s="28">
        <v>0.25801116932335305</v>
      </c>
      <c r="Y22" s="28">
        <v>1.0570516990485903</v>
      </c>
      <c r="Z22" s="102" t="s">
        <v>125</v>
      </c>
      <c r="AA22" s="93" t="s">
        <v>125</v>
      </c>
      <c r="AB22" s="28" t="s">
        <v>125</v>
      </c>
      <c r="AC22" s="28" t="s">
        <v>125</v>
      </c>
      <c r="AD22" s="27">
        <v>0.27273114490676387</v>
      </c>
      <c r="AE22" s="28">
        <v>0.1451667238390733</v>
      </c>
      <c r="AF22" s="28">
        <v>1.8787442307308937</v>
      </c>
      <c r="AG22" s="101" t="s">
        <v>125</v>
      </c>
      <c r="AH22" s="319" t="s">
        <v>125</v>
      </c>
      <c r="AI22" s="30" t="s">
        <v>125</v>
      </c>
      <c r="AJ22" s="328" t="s">
        <v>125</v>
      </c>
      <c r="AL22" s="296">
        <v>1</v>
      </c>
      <c r="AM22" s="44">
        <v>1.5</v>
      </c>
      <c r="AN22" s="50">
        <v>0.5029953845847144</v>
      </c>
      <c r="AO22" s="51">
        <v>0.5029953845847144</v>
      </c>
      <c r="AP22" s="51">
        <v>0</v>
      </c>
      <c r="AQ22" s="50">
        <v>0.05705169904859031</v>
      </c>
      <c r="AR22" s="51">
        <v>0.05705169904859031</v>
      </c>
      <c r="AS22" s="51">
        <v>0</v>
      </c>
      <c r="AT22" s="50">
        <v>0.8787442307308937</v>
      </c>
      <c r="AU22" s="51">
        <v>0.8787442307308937</v>
      </c>
      <c r="AV22" s="51">
        <v>0</v>
      </c>
      <c r="AW22" s="52">
        <v>1</v>
      </c>
      <c r="AX22" s="52">
        <v>3</v>
      </c>
      <c r="AY22" s="44" t="s">
        <v>125</v>
      </c>
      <c r="AZ22" s="45" t="s">
        <v>125</v>
      </c>
      <c r="BA22" s="46" t="s">
        <v>125</v>
      </c>
    </row>
    <row r="23" spans="1:53" ht="13.5">
      <c r="A23" s="19">
        <v>1</v>
      </c>
      <c r="B23" s="163">
        <v>4.5</v>
      </c>
      <c r="C23" s="164" t="s">
        <v>96</v>
      </c>
      <c r="D23" s="165">
        <v>21</v>
      </c>
      <c r="E23" s="166">
        <v>6</v>
      </c>
      <c r="F23" s="166">
        <v>100</v>
      </c>
      <c r="G23" s="167" t="s">
        <v>125</v>
      </c>
      <c r="H23" s="167" t="s">
        <v>125</v>
      </c>
      <c r="I23" s="24">
        <v>71.285</v>
      </c>
      <c r="J23" s="24">
        <v>56.584999999999994</v>
      </c>
      <c r="K23" s="24">
        <v>36.98499999999999</v>
      </c>
      <c r="L23" s="25">
        <v>0.9325</v>
      </c>
      <c r="M23" s="24">
        <v>9.766781608200837</v>
      </c>
      <c r="N23" s="24">
        <v>8.1</v>
      </c>
      <c r="O23" s="26">
        <v>17.86678160820084</v>
      </c>
      <c r="P23" s="27">
        <v>0.1978972851994014</v>
      </c>
      <c r="Q23" s="28">
        <v>0.19166595670453368</v>
      </c>
      <c r="R23" s="28">
        <v>1.0325113995307666</v>
      </c>
      <c r="S23" s="101" t="s">
        <v>125</v>
      </c>
      <c r="T23" s="318" t="s">
        <v>125</v>
      </c>
      <c r="U23" s="28" t="s">
        <v>125</v>
      </c>
      <c r="V23" s="323" t="s">
        <v>125</v>
      </c>
      <c r="W23" s="27">
        <v>0.1978972851994014</v>
      </c>
      <c r="X23" s="28">
        <v>0.27252503218925883</v>
      </c>
      <c r="Y23" s="28">
        <v>0.7261618634062534</v>
      </c>
      <c r="Z23" s="102">
        <v>1.061122779300768</v>
      </c>
      <c r="AA23" s="92" t="s">
        <v>158</v>
      </c>
      <c r="AB23" s="28">
        <v>1.071315094022381</v>
      </c>
      <c r="AC23" s="28">
        <v>0.5356575470111905</v>
      </c>
      <c r="AD23" s="27">
        <v>0.1978972851994014</v>
      </c>
      <c r="AE23" s="28">
        <v>0.15333276536362692</v>
      </c>
      <c r="AF23" s="28">
        <v>1.2906392494134584</v>
      </c>
      <c r="AG23" s="101" t="s">
        <v>125</v>
      </c>
      <c r="AH23" s="318" t="s">
        <v>125</v>
      </c>
      <c r="AI23" s="30" t="s">
        <v>125</v>
      </c>
      <c r="AJ23" s="328" t="s">
        <v>125</v>
      </c>
      <c r="AL23" s="296">
        <v>1</v>
      </c>
      <c r="AM23" s="44">
        <v>1</v>
      </c>
      <c r="AN23" s="50">
        <v>0.03251139953076665</v>
      </c>
      <c r="AO23" s="51">
        <v>0.03251139953076665</v>
      </c>
      <c r="AP23" s="51">
        <v>0</v>
      </c>
      <c r="AQ23" s="50">
        <v>-0.27383813659374656</v>
      </c>
      <c r="AR23" s="51">
        <v>0</v>
      </c>
      <c r="AS23" s="51">
        <v>-0.27383813659374656</v>
      </c>
      <c r="AT23" s="50">
        <v>0.2906392494134584</v>
      </c>
      <c r="AU23" s="51">
        <v>0.2906392494134584</v>
      </c>
      <c r="AV23" s="51">
        <v>0</v>
      </c>
      <c r="AW23" s="52">
        <v>1</v>
      </c>
      <c r="AX23" s="52">
        <v>3</v>
      </c>
      <c r="AY23" s="44" t="s">
        <v>125</v>
      </c>
      <c r="AZ23" s="45">
        <v>0.5356575470111905</v>
      </c>
      <c r="BA23" s="46" t="s">
        <v>125</v>
      </c>
    </row>
    <row r="24" spans="1:53" ht="13.5">
      <c r="A24" s="19">
        <v>1</v>
      </c>
      <c r="B24" s="279">
        <v>5</v>
      </c>
      <c r="C24" s="280" t="s">
        <v>96</v>
      </c>
      <c r="D24" s="281">
        <v>21</v>
      </c>
      <c r="E24" s="282">
        <v>6</v>
      </c>
      <c r="F24" s="282">
        <v>100</v>
      </c>
      <c r="G24" s="283" t="s">
        <v>125</v>
      </c>
      <c r="H24" s="283" t="s">
        <v>125</v>
      </c>
      <c r="I24" s="284">
        <v>79.27</v>
      </c>
      <c r="J24" s="284">
        <v>59.669999999999995</v>
      </c>
      <c r="K24" s="284">
        <v>40.06999999999999</v>
      </c>
      <c r="L24" s="285">
        <v>0.925</v>
      </c>
      <c r="M24" s="284">
        <v>9.383278725511083</v>
      </c>
      <c r="N24" s="284">
        <v>8.1</v>
      </c>
      <c r="O24" s="286">
        <v>17.483278725511084</v>
      </c>
      <c r="P24" s="258">
        <v>0.1925835913839487</v>
      </c>
      <c r="Q24" s="260">
        <v>0.20049052827230665</v>
      </c>
      <c r="R24" s="260">
        <v>0.9605620427234411</v>
      </c>
      <c r="S24" s="455">
        <v>0.1478923397870957</v>
      </c>
      <c r="T24" s="320" t="s">
        <v>158</v>
      </c>
      <c r="U24" s="260">
        <v>0.5111407717674897</v>
      </c>
      <c r="V24" s="324">
        <v>0.25557038588374487</v>
      </c>
      <c r="W24" s="258">
        <v>0.1925835913839487</v>
      </c>
      <c r="X24" s="260">
        <v>0.28507246988718604</v>
      </c>
      <c r="Y24" s="260">
        <v>0.6755601179593431</v>
      </c>
      <c r="Z24" s="455">
        <v>1.2166495576524632</v>
      </c>
      <c r="AA24" s="261" t="s">
        <v>158</v>
      </c>
      <c r="AB24" s="260">
        <v>1.2220687502259586</v>
      </c>
      <c r="AC24" s="260">
        <v>0.6110343751129793</v>
      </c>
      <c r="AD24" s="258">
        <v>0.1925835913839487</v>
      </c>
      <c r="AE24" s="260">
        <v>0.16039242261784528</v>
      </c>
      <c r="AF24" s="260">
        <v>1.2007025534043017</v>
      </c>
      <c r="AG24" s="455" t="s">
        <v>125</v>
      </c>
      <c r="AH24" s="320" t="s">
        <v>125</v>
      </c>
      <c r="AI24" s="287" t="s">
        <v>125</v>
      </c>
      <c r="AJ24" s="329" t="s">
        <v>125</v>
      </c>
      <c r="AL24" s="297">
        <v>1</v>
      </c>
      <c r="AM24" s="289">
        <v>1</v>
      </c>
      <c r="AN24" s="290">
        <v>-0.039437957276558855</v>
      </c>
      <c r="AO24" s="291">
        <v>0</v>
      </c>
      <c r="AP24" s="291">
        <v>-0.039437957276558855</v>
      </c>
      <c r="AQ24" s="290">
        <v>-0.3244398820406569</v>
      </c>
      <c r="AR24" s="291">
        <v>0</v>
      </c>
      <c r="AS24" s="291">
        <v>-0.3244398820406569</v>
      </c>
      <c r="AT24" s="290">
        <v>0.20070255340430165</v>
      </c>
      <c r="AU24" s="291">
        <v>0.20070255340430165</v>
      </c>
      <c r="AV24" s="291">
        <v>0</v>
      </c>
      <c r="AW24" s="292">
        <v>1</v>
      </c>
      <c r="AX24" s="292">
        <v>3</v>
      </c>
      <c r="AY24" s="289">
        <v>0.25557038588374487</v>
      </c>
      <c r="AZ24" s="293">
        <v>0.6110343751129793</v>
      </c>
      <c r="BA24" s="46" t="s">
        <v>125</v>
      </c>
    </row>
    <row r="25" spans="1:53" ht="13.5">
      <c r="A25" s="19">
        <v>1</v>
      </c>
      <c r="B25" s="163">
        <v>5.5</v>
      </c>
      <c r="C25" s="164" t="s">
        <v>96</v>
      </c>
      <c r="D25" s="165">
        <v>21</v>
      </c>
      <c r="E25" s="166">
        <v>6</v>
      </c>
      <c r="F25" s="166">
        <v>100</v>
      </c>
      <c r="G25" s="167" t="s">
        <v>125</v>
      </c>
      <c r="H25" s="167" t="s">
        <v>125</v>
      </c>
      <c r="I25" s="24">
        <v>87.255</v>
      </c>
      <c r="J25" s="24">
        <v>62.754999999999995</v>
      </c>
      <c r="K25" s="24">
        <v>43.154999999999994</v>
      </c>
      <c r="L25" s="25">
        <v>0.9175</v>
      </c>
      <c r="M25" s="24">
        <v>9.041671572088774</v>
      </c>
      <c r="N25" s="24">
        <v>8.1</v>
      </c>
      <c r="O25" s="26">
        <v>17.141671572088775</v>
      </c>
      <c r="P25" s="27">
        <v>0.1881917979987387</v>
      </c>
      <c r="Q25" s="28">
        <v>0.20813607907554021</v>
      </c>
      <c r="R25" s="28">
        <v>0.9041767233946835</v>
      </c>
      <c r="S25" s="101">
        <v>0.34735937769427244</v>
      </c>
      <c r="T25" s="318" t="s">
        <v>158</v>
      </c>
      <c r="U25" s="28">
        <v>0.6937371900765354</v>
      </c>
      <c r="V25" s="323">
        <v>0.3468685950382677</v>
      </c>
      <c r="W25" s="27">
        <v>0.1881917979987387</v>
      </c>
      <c r="X25" s="28">
        <v>0.2959434874355337</v>
      </c>
      <c r="Y25" s="28">
        <v>0.6359045087610962</v>
      </c>
      <c r="Z25" s="102">
        <v>1.3198461557410264</v>
      </c>
      <c r="AA25" s="92" t="s">
        <v>158</v>
      </c>
      <c r="AB25" s="28">
        <v>1.3476180031926266</v>
      </c>
      <c r="AC25" s="28">
        <v>0.6738090015963133</v>
      </c>
      <c r="AD25" s="27">
        <v>0.1881917979987387</v>
      </c>
      <c r="AE25" s="28">
        <v>0.16650886326043213</v>
      </c>
      <c r="AF25" s="28">
        <v>1.1302209042433546</v>
      </c>
      <c r="AG25" s="101" t="s">
        <v>125</v>
      </c>
      <c r="AH25" s="318" t="s">
        <v>125</v>
      </c>
      <c r="AI25" s="30" t="s">
        <v>125</v>
      </c>
      <c r="AJ25" s="328" t="s">
        <v>125</v>
      </c>
      <c r="AL25" s="296">
        <v>1</v>
      </c>
      <c r="AM25" s="44">
        <v>1</v>
      </c>
      <c r="AN25" s="50">
        <v>-0.09582327660531653</v>
      </c>
      <c r="AO25" s="51">
        <v>0</v>
      </c>
      <c r="AP25" s="51">
        <v>-0.09582327660531653</v>
      </c>
      <c r="AQ25" s="50">
        <v>-0.36409549123890383</v>
      </c>
      <c r="AR25" s="51">
        <v>0</v>
      </c>
      <c r="AS25" s="51">
        <v>-0.36409549123890383</v>
      </c>
      <c r="AT25" s="50">
        <v>0.13022090424335464</v>
      </c>
      <c r="AU25" s="51">
        <v>0.13022090424335464</v>
      </c>
      <c r="AV25" s="51">
        <v>0</v>
      </c>
      <c r="AW25" s="52">
        <v>1</v>
      </c>
      <c r="AX25" s="52">
        <v>3</v>
      </c>
      <c r="AY25" s="44">
        <v>0.3468685950382677</v>
      </c>
      <c r="AZ25" s="45">
        <v>0.6738090015963133</v>
      </c>
      <c r="BA25" s="46" t="s">
        <v>125</v>
      </c>
    </row>
    <row r="26" spans="1:53" ht="13.5">
      <c r="A26" s="19">
        <v>1</v>
      </c>
      <c r="B26" s="163">
        <v>6</v>
      </c>
      <c r="C26" s="164" t="s">
        <v>96</v>
      </c>
      <c r="D26" s="165">
        <v>21</v>
      </c>
      <c r="E26" s="166">
        <v>6</v>
      </c>
      <c r="F26" s="166">
        <v>100</v>
      </c>
      <c r="G26" s="167" t="s">
        <v>125</v>
      </c>
      <c r="H26" s="167" t="s">
        <v>125</v>
      </c>
      <c r="I26" s="24">
        <v>95.24</v>
      </c>
      <c r="J26" s="24">
        <v>65.83999999999999</v>
      </c>
      <c r="K26" s="24">
        <v>46.239999999999995</v>
      </c>
      <c r="L26" s="25">
        <v>0.91</v>
      </c>
      <c r="M26" s="24">
        <v>8.734848473480882</v>
      </c>
      <c r="N26" s="24">
        <v>8.1</v>
      </c>
      <c r="O26" s="26">
        <v>16.834848473480882</v>
      </c>
      <c r="P26" s="27">
        <v>0.18449372787014165</v>
      </c>
      <c r="Q26" s="28">
        <v>0.21476834175663742</v>
      </c>
      <c r="R26" s="28">
        <v>0.8590359564222871</v>
      </c>
      <c r="S26" s="101">
        <v>0.493374152521995</v>
      </c>
      <c r="T26" s="318" t="s">
        <v>158</v>
      </c>
      <c r="U26" s="28">
        <v>0.8396369575508786</v>
      </c>
      <c r="V26" s="323">
        <v>0.4198184787754393</v>
      </c>
      <c r="W26" s="27">
        <v>0.18449372787014165</v>
      </c>
      <c r="X26" s="28">
        <v>0.3053737359352188</v>
      </c>
      <c r="Y26" s="28">
        <v>0.604157156165125</v>
      </c>
      <c r="Z26" s="102">
        <v>1.3854499534220626</v>
      </c>
      <c r="AA26" s="92" t="s">
        <v>158</v>
      </c>
      <c r="AB26" s="28">
        <v>1.444050066407098</v>
      </c>
      <c r="AC26" s="28">
        <v>0.722025033203549</v>
      </c>
      <c r="AD26" s="27">
        <v>0.18449372787014165</v>
      </c>
      <c r="AE26" s="28">
        <v>0.17181467340530993</v>
      </c>
      <c r="AF26" s="28">
        <v>1.073794945527859</v>
      </c>
      <c r="AG26" s="101" t="s">
        <v>125</v>
      </c>
      <c r="AH26" s="318" t="s">
        <v>125</v>
      </c>
      <c r="AI26" s="30" t="s">
        <v>125</v>
      </c>
      <c r="AJ26" s="328" t="s">
        <v>125</v>
      </c>
      <c r="AL26" s="296">
        <v>1</v>
      </c>
      <c r="AM26" s="44">
        <v>1</v>
      </c>
      <c r="AN26" s="50">
        <v>-0.14096404357771286</v>
      </c>
      <c r="AO26" s="51">
        <v>0</v>
      </c>
      <c r="AP26" s="51">
        <v>-0.14096404357771286</v>
      </c>
      <c r="AQ26" s="50">
        <v>-0.395842843834875</v>
      </c>
      <c r="AR26" s="51">
        <v>0</v>
      </c>
      <c r="AS26" s="51">
        <v>-0.395842843834875</v>
      </c>
      <c r="AT26" s="50">
        <v>0.07379494552785903</v>
      </c>
      <c r="AU26" s="51">
        <v>0.07379494552785903</v>
      </c>
      <c r="AV26" s="51">
        <v>0</v>
      </c>
      <c r="AW26" s="52">
        <v>1</v>
      </c>
      <c r="AX26" s="52">
        <v>3</v>
      </c>
      <c r="AY26" s="44">
        <v>0.4198184787754393</v>
      </c>
      <c r="AZ26" s="45">
        <v>0.722025033203549</v>
      </c>
      <c r="BA26" s="46" t="s">
        <v>125</v>
      </c>
    </row>
    <row r="27" spans="1:53" ht="13.5">
      <c r="A27" s="19">
        <v>1</v>
      </c>
      <c r="B27" s="163">
        <v>6.5</v>
      </c>
      <c r="C27" s="164" t="s">
        <v>96</v>
      </c>
      <c r="D27" s="165">
        <v>21</v>
      </c>
      <c r="E27" s="166">
        <v>7</v>
      </c>
      <c r="F27" s="166">
        <v>100</v>
      </c>
      <c r="G27" s="167" t="s">
        <v>125</v>
      </c>
      <c r="H27" s="167" t="s">
        <v>125</v>
      </c>
      <c r="I27" s="24">
        <v>103.425</v>
      </c>
      <c r="J27" s="24">
        <v>69.125</v>
      </c>
      <c r="K27" s="24">
        <v>49.52499999999999</v>
      </c>
      <c r="L27" s="25">
        <v>0.9025</v>
      </c>
      <c r="M27" s="24">
        <v>9.846884316475414</v>
      </c>
      <c r="N27" s="24">
        <v>8.1</v>
      </c>
      <c r="O27" s="26">
        <v>17.946884316475412</v>
      </c>
      <c r="P27" s="27">
        <v>0.19906263723989237</v>
      </c>
      <c r="Q27" s="28">
        <v>0.22031136582790278</v>
      </c>
      <c r="R27" s="28">
        <v>0.9035513737198245</v>
      </c>
      <c r="S27" s="101">
        <v>0.32551411369559224</v>
      </c>
      <c r="T27" s="318" t="s">
        <v>158</v>
      </c>
      <c r="U27" s="28">
        <v>0.6617535070101604</v>
      </c>
      <c r="V27" s="323">
        <v>0.3308767535050802</v>
      </c>
      <c r="W27" s="27">
        <v>0.19906263723989237</v>
      </c>
      <c r="X27" s="28">
        <v>0.31325522328654926</v>
      </c>
      <c r="Y27" s="28">
        <v>0.6354647023963601</v>
      </c>
      <c r="Z27" s="102">
        <v>1.2303066294122846</v>
      </c>
      <c r="AA27" s="92" t="s">
        <v>158</v>
      </c>
      <c r="AB27" s="28">
        <v>1.2360767771785832</v>
      </c>
      <c r="AC27" s="28">
        <v>0.6180383885892916</v>
      </c>
      <c r="AD27" s="27">
        <v>0.19906263723989237</v>
      </c>
      <c r="AE27" s="28">
        <v>0.1762490926623222</v>
      </c>
      <c r="AF27" s="28">
        <v>1.129439217149781</v>
      </c>
      <c r="AG27" s="101" t="s">
        <v>125</v>
      </c>
      <c r="AH27" s="318" t="s">
        <v>125</v>
      </c>
      <c r="AI27" s="30" t="s">
        <v>125</v>
      </c>
      <c r="AJ27" s="328" t="s">
        <v>125</v>
      </c>
      <c r="AL27" s="296">
        <v>1</v>
      </c>
      <c r="AM27" s="44">
        <v>1</v>
      </c>
      <c r="AN27" s="50">
        <v>-0.09644862628017548</v>
      </c>
      <c r="AO27" s="51">
        <v>0</v>
      </c>
      <c r="AP27" s="51">
        <v>-0.09644862628017548</v>
      </c>
      <c r="AQ27" s="50">
        <v>-0.3645352976036399</v>
      </c>
      <c r="AR27" s="51">
        <v>0</v>
      </c>
      <c r="AS27" s="51">
        <v>-0.3645352976036399</v>
      </c>
      <c r="AT27" s="50">
        <v>0.1294392171497809</v>
      </c>
      <c r="AU27" s="51">
        <v>0.1294392171497809</v>
      </c>
      <c r="AV27" s="51">
        <v>0</v>
      </c>
      <c r="AW27" s="52">
        <v>1</v>
      </c>
      <c r="AX27" s="52">
        <v>3</v>
      </c>
      <c r="AY27" s="44">
        <v>0.3308767535050802</v>
      </c>
      <c r="AZ27" s="45">
        <v>0.6180383885892916</v>
      </c>
      <c r="BA27" s="46" t="s">
        <v>125</v>
      </c>
    </row>
    <row r="28" spans="1:53" ht="13.5">
      <c r="A28" s="19">
        <v>1</v>
      </c>
      <c r="B28" s="163">
        <v>7</v>
      </c>
      <c r="C28" s="164" t="s">
        <v>96</v>
      </c>
      <c r="D28" s="165">
        <v>21</v>
      </c>
      <c r="E28" s="166">
        <v>7</v>
      </c>
      <c r="F28" s="166">
        <v>100</v>
      </c>
      <c r="G28" s="167" t="s">
        <v>125</v>
      </c>
      <c r="H28" s="167" t="s">
        <v>125</v>
      </c>
      <c r="I28" s="24">
        <v>111.61</v>
      </c>
      <c r="J28" s="24">
        <v>72.41</v>
      </c>
      <c r="K28" s="24">
        <v>52.809999999999995</v>
      </c>
      <c r="L28" s="25">
        <v>0.895</v>
      </c>
      <c r="M28" s="24">
        <v>9.535709105974174</v>
      </c>
      <c r="N28" s="24">
        <v>8.1</v>
      </c>
      <c r="O28" s="26">
        <v>17.635709105974172</v>
      </c>
      <c r="P28" s="27">
        <v>0.19464461797253188</v>
      </c>
      <c r="Q28" s="28">
        <v>0.2250748156216381</v>
      </c>
      <c r="R28" s="28">
        <v>0.8647996331128361</v>
      </c>
      <c r="S28" s="101">
        <v>0.43940119238328257</v>
      </c>
      <c r="T28" s="318" t="s">
        <v>158</v>
      </c>
      <c r="U28" s="28">
        <v>0.7795637395557161</v>
      </c>
      <c r="V28" s="323">
        <v>0.38978186977785806</v>
      </c>
      <c r="W28" s="27">
        <v>0.19464461797253188</v>
      </c>
      <c r="X28" s="28">
        <v>0.3200282534620167</v>
      </c>
      <c r="Y28" s="28">
        <v>0.6082107309804562</v>
      </c>
      <c r="Z28" s="102">
        <v>1.2733151243135175</v>
      </c>
      <c r="AA28" s="92" t="s">
        <v>158</v>
      </c>
      <c r="AB28" s="28">
        <v>1.318020484731293</v>
      </c>
      <c r="AC28" s="28">
        <v>0.6590102423656465</v>
      </c>
      <c r="AD28" s="27">
        <v>0.19464461797253188</v>
      </c>
      <c r="AE28" s="28">
        <v>0.18005985249731046</v>
      </c>
      <c r="AF28" s="28">
        <v>1.0809995413910454</v>
      </c>
      <c r="AG28" s="101" t="s">
        <v>125</v>
      </c>
      <c r="AH28" s="318" t="s">
        <v>125</v>
      </c>
      <c r="AI28" s="30" t="s">
        <v>125</v>
      </c>
      <c r="AJ28" s="328" t="s">
        <v>125</v>
      </c>
      <c r="AL28" s="296">
        <v>1</v>
      </c>
      <c r="AM28" s="44">
        <v>1</v>
      </c>
      <c r="AN28" s="50">
        <v>-0.13520036688716386</v>
      </c>
      <c r="AO28" s="51">
        <v>0</v>
      </c>
      <c r="AP28" s="51">
        <v>-0.13520036688716386</v>
      </c>
      <c r="AQ28" s="50">
        <v>-0.3917892690195438</v>
      </c>
      <c r="AR28" s="51">
        <v>0</v>
      </c>
      <c r="AS28" s="51">
        <v>-0.3917892690195438</v>
      </c>
      <c r="AT28" s="50">
        <v>0.08099954139104537</v>
      </c>
      <c r="AU28" s="51">
        <v>0.08099954139104537</v>
      </c>
      <c r="AV28" s="51">
        <v>0</v>
      </c>
      <c r="AW28" s="52">
        <v>1</v>
      </c>
      <c r="AX28" s="52">
        <v>3</v>
      </c>
      <c r="AY28" s="44">
        <v>0.38978186977785806</v>
      </c>
      <c r="AZ28" s="45">
        <v>0.6590102423656465</v>
      </c>
      <c r="BA28" s="46" t="s">
        <v>125</v>
      </c>
    </row>
    <row r="29" spans="1:53" ht="13.5">
      <c r="A29" s="19">
        <v>1</v>
      </c>
      <c r="B29" s="163">
        <v>7.5</v>
      </c>
      <c r="C29" s="164" t="s">
        <v>96</v>
      </c>
      <c r="D29" s="165">
        <v>21</v>
      </c>
      <c r="E29" s="166">
        <v>7</v>
      </c>
      <c r="F29" s="166">
        <v>100</v>
      </c>
      <c r="G29" s="167" t="s">
        <v>125</v>
      </c>
      <c r="H29" s="167" t="s">
        <v>125</v>
      </c>
      <c r="I29" s="24">
        <v>119.795</v>
      </c>
      <c r="J29" s="24">
        <v>75.695</v>
      </c>
      <c r="K29" s="24">
        <v>56.095</v>
      </c>
      <c r="L29" s="25">
        <v>0.8875</v>
      </c>
      <c r="M29" s="24">
        <v>9.252284993957579</v>
      </c>
      <c r="N29" s="24">
        <v>8.1</v>
      </c>
      <c r="O29" s="26">
        <v>17.35228499395758</v>
      </c>
      <c r="P29" s="27">
        <v>0.19086344490869875</v>
      </c>
      <c r="Q29" s="28">
        <v>0.2291601866726219</v>
      </c>
      <c r="R29" s="28">
        <v>0.8328822195513663</v>
      </c>
      <c r="S29" s="101">
        <v>0.5222430639019803</v>
      </c>
      <c r="T29" s="318" t="s">
        <v>158</v>
      </c>
      <c r="U29" s="28">
        <v>0.8785805627999693</v>
      </c>
      <c r="V29" s="323">
        <v>0.43929028139998466</v>
      </c>
      <c r="W29" s="27">
        <v>0.19086344490869875</v>
      </c>
      <c r="X29" s="28">
        <v>0.3258371404251343</v>
      </c>
      <c r="Y29" s="28">
        <v>0.5857633192449169</v>
      </c>
      <c r="Z29" s="102">
        <v>1.2944896273596347</v>
      </c>
      <c r="AA29" s="92" t="s">
        <v>158</v>
      </c>
      <c r="AB29" s="28">
        <v>1.3905677479022827</v>
      </c>
      <c r="AC29" s="28">
        <v>0.6952838739511413</v>
      </c>
      <c r="AD29" s="27">
        <v>0.19086344490869875</v>
      </c>
      <c r="AE29" s="28">
        <v>0.1833281493380975</v>
      </c>
      <c r="AF29" s="28">
        <v>1.041102774439208</v>
      </c>
      <c r="AG29" s="101" t="s">
        <v>125</v>
      </c>
      <c r="AH29" s="318" t="s">
        <v>125</v>
      </c>
      <c r="AI29" s="30" t="s">
        <v>125</v>
      </c>
      <c r="AJ29" s="328" t="s">
        <v>125</v>
      </c>
      <c r="AL29" s="296">
        <v>1</v>
      </c>
      <c r="AM29" s="44">
        <v>1</v>
      </c>
      <c r="AN29" s="50">
        <v>-0.16711778044863368</v>
      </c>
      <c r="AO29" s="51">
        <v>0</v>
      </c>
      <c r="AP29" s="51">
        <v>-0.16711778044863368</v>
      </c>
      <c r="AQ29" s="50">
        <v>-0.41423668075508313</v>
      </c>
      <c r="AR29" s="51">
        <v>0</v>
      </c>
      <c r="AS29" s="51">
        <v>-0.41423668075508313</v>
      </c>
      <c r="AT29" s="50">
        <v>0.04110277443920807</v>
      </c>
      <c r="AU29" s="51">
        <v>0.04110277443920807</v>
      </c>
      <c r="AV29" s="51">
        <v>0</v>
      </c>
      <c r="AW29" s="52">
        <v>1</v>
      </c>
      <c r="AX29" s="52">
        <v>3</v>
      </c>
      <c r="AY29" s="44">
        <v>0.43929028139998466</v>
      </c>
      <c r="AZ29" s="45">
        <v>0.6952838739511413</v>
      </c>
      <c r="BA29" s="46" t="s">
        <v>125</v>
      </c>
    </row>
    <row r="30" spans="1:53" ht="13.5">
      <c r="A30" s="19">
        <v>1</v>
      </c>
      <c r="B30" s="163">
        <v>8</v>
      </c>
      <c r="C30" s="164" t="s">
        <v>96</v>
      </c>
      <c r="D30" s="165">
        <v>21</v>
      </c>
      <c r="E30" s="166">
        <v>7</v>
      </c>
      <c r="F30" s="166">
        <v>100</v>
      </c>
      <c r="G30" s="167" t="s">
        <v>125</v>
      </c>
      <c r="H30" s="167" t="s">
        <v>125</v>
      </c>
      <c r="I30" s="24">
        <v>127.98</v>
      </c>
      <c r="J30" s="24">
        <v>78.98</v>
      </c>
      <c r="K30" s="24">
        <v>59.379999999999995</v>
      </c>
      <c r="L30" s="25">
        <v>0.88</v>
      </c>
      <c r="M30" s="24">
        <v>8.992718134933495</v>
      </c>
      <c r="N30" s="24">
        <v>8.1</v>
      </c>
      <c r="O30" s="26">
        <v>17.092718134933495</v>
      </c>
      <c r="P30" s="27">
        <v>0.18758676697019674</v>
      </c>
      <c r="Q30" s="28">
        <v>0.23265208857834477</v>
      </c>
      <c r="R30" s="28">
        <v>0.8062973692455272</v>
      </c>
      <c r="S30" s="101">
        <v>0.5811078922634184</v>
      </c>
      <c r="T30" s="318" t="s">
        <v>158</v>
      </c>
      <c r="U30" s="28">
        <v>0.9628648174244936</v>
      </c>
      <c r="V30" s="323">
        <v>0.4814324087122468</v>
      </c>
      <c r="W30" s="27">
        <v>0.18758676697019674</v>
      </c>
      <c r="X30" s="28">
        <v>0.330802188447334</v>
      </c>
      <c r="Y30" s="28">
        <v>0.5670662816671839</v>
      </c>
      <c r="Z30" s="102">
        <v>1.2988011549984484</v>
      </c>
      <c r="AA30" s="92" t="s">
        <v>158</v>
      </c>
      <c r="AB30" s="28">
        <v>1.4552456897145762</v>
      </c>
      <c r="AC30" s="28">
        <v>0.7276228448572881</v>
      </c>
      <c r="AD30" s="27">
        <v>0.18758676697019674</v>
      </c>
      <c r="AE30" s="28">
        <v>0.18612167086267578</v>
      </c>
      <c r="AF30" s="28">
        <v>1.0078717115569091</v>
      </c>
      <c r="AG30" s="101" t="s">
        <v>125</v>
      </c>
      <c r="AH30" s="318" t="s">
        <v>125</v>
      </c>
      <c r="AI30" s="30" t="s">
        <v>125</v>
      </c>
      <c r="AJ30" s="328" t="s">
        <v>125</v>
      </c>
      <c r="AL30" s="296">
        <v>1</v>
      </c>
      <c r="AM30" s="44">
        <v>1</v>
      </c>
      <c r="AN30" s="50">
        <v>-0.1937026307544728</v>
      </c>
      <c r="AO30" s="51">
        <v>0</v>
      </c>
      <c r="AP30" s="51">
        <v>-0.1937026307544728</v>
      </c>
      <c r="AQ30" s="50">
        <v>-0.43293371833281613</v>
      </c>
      <c r="AR30" s="51">
        <v>0</v>
      </c>
      <c r="AS30" s="51">
        <v>-0.43293371833281613</v>
      </c>
      <c r="AT30" s="50">
        <v>0.007871711556909133</v>
      </c>
      <c r="AU30" s="51">
        <v>0.007871711556909133</v>
      </c>
      <c r="AV30" s="51">
        <v>0</v>
      </c>
      <c r="AW30" s="52">
        <v>1</v>
      </c>
      <c r="AX30" s="52">
        <v>3</v>
      </c>
      <c r="AY30" s="44">
        <v>0.4814324087122468</v>
      </c>
      <c r="AZ30" s="45">
        <v>0.7276228448572881</v>
      </c>
      <c r="BA30" s="46" t="s">
        <v>125</v>
      </c>
    </row>
    <row r="31" spans="1:53" ht="13.5">
      <c r="A31" s="19">
        <v>1</v>
      </c>
      <c r="B31" s="163">
        <v>8.5</v>
      </c>
      <c r="C31" s="164" t="s">
        <v>96</v>
      </c>
      <c r="D31" s="165">
        <v>21</v>
      </c>
      <c r="E31" s="166">
        <v>7</v>
      </c>
      <c r="F31" s="166">
        <v>100</v>
      </c>
      <c r="G31" s="167" t="s">
        <v>125</v>
      </c>
      <c r="H31" s="167" t="s">
        <v>125</v>
      </c>
      <c r="I31" s="24">
        <v>136.165</v>
      </c>
      <c r="J31" s="24">
        <v>82.26499999999999</v>
      </c>
      <c r="K31" s="24">
        <v>62.66499999999999</v>
      </c>
      <c r="L31" s="25">
        <v>0.8725</v>
      </c>
      <c r="M31" s="24">
        <v>8.753839020586362</v>
      </c>
      <c r="N31" s="24">
        <v>8.1</v>
      </c>
      <c r="O31" s="26">
        <v>16.853839020586364</v>
      </c>
      <c r="P31" s="27">
        <v>0.1847162814200387</v>
      </c>
      <c r="Q31" s="28">
        <v>0.23562161643911134</v>
      </c>
      <c r="R31" s="28">
        <v>0.7839530354286173</v>
      </c>
      <c r="S31" s="101">
        <v>0.6211350231427253</v>
      </c>
      <c r="T31" s="318" t="s">
        <v>158</v>
      </c>
      <c r="U31" s="28">
        <v>1.0454129691258818</v>
      </c>
      <c r="V31" s="323">
        <v>0.5227064845629409</v>
      </c>
      <c r="W31" s="27">
        <v>0.1847162814200387</v>
      </c>
      <c r="X31" s="28">
        <v>0.33502448587436146</v>
      </c>
      <c r="Y31" s="28">
        <v>0.5513515853563901</v>
      </c>
      <c r="Z31" s="102">
        <v>1.2898641921003786</v>
      </c>
      <c r="AA31" s="92" t="s">
        <v>158</v>
      </c>
      <c r="AB31" s="28">
        <v>1.5132640441548226</v>
      </c>
      <c r="AC31" s="28">
        <v>0.7566320220774113</v>
      </c>
      <c r="AD31" s="27">
        <v>0.1847162814200387</v>
      </c>
      <c r="AE31" s="28">
        <v>0.18849729315128902</v>
      </c>
      <c r="AF31" s="28">
        <v>0.9799412942857718</v>
      </c>
      <c r="AG31" s="101">
        <v>0.057668778928406036</v>
      </c>
      <c r="AH31" s="318" t="s">
        <v>158</v>
      </c>
      <c r="AI31" s="30">
        <v>0.5</v>
      </c>
      <c r="AJ31" s="328">
        <v>0.25</v>
      </c>
      <c r="AL31" s="296">
        <v>1</v>
      </c>
      <c r="AM31" s="44">
        <v>1</v>
      </c>
      <c r="AN31" s="50">
        <v>-0.21604696457138273</v>
      </c>
      <c r="AO31" s="51">
        <v>0</v>
      </c>
      <c r="AP31" s="51">
        <v>-0.21604696457138273</v>
      </c>
      <c r="AQ31" s="50">
        <v>-0.44864841464360994</v>
      </c>
      <c r="AR31" s="51">
        <v>0</v>
      </c>
      <c r="AS31" s="51">
        <v>-0.44864841464360994</v>
      </c>
      <c r="AT31" s="50">
        <v>-0.020058705714228187</v>
      </c>
      <c r="AU31" s="51">
        <v>0</v>
      </c>
      <c r="AV31" s="51">
        <v>-0.020058705714228187</v>
      </c>
      <c r="AW31" s="52">
        <v>1</v>
      </c>
      <c r="AX31" s="52">
        <v>3</v>
      </c>
      <c r="AY31" s="44">
        <v>0.5227064845629409</v>
      </c>
      <c r="AZ31" s="45">
        <v>0.7566320220774113</v>
      </c>
      <c r="BA31" s="46">
        <v>0.25</v>
      </c>
    </row>
    <row r="32" spans="1:53" ht="13.5">
      <c r="A32" s="19">
        <v>1</v>
      </c>
      <c r="B32" s="163">
        <v>9</v>
      </c>
      <c r="C32" s="164" t="s">
        <v>96</v>
      </c>
      <c r="D32" s="165">
        <v>21</v>
      </c>
      <c r="E32" s="166">
        <v>7</v>
      </c>
      <c r="F32" s="166">
        <v>100</v>
      </c>
      <c r="G32" s="167" t="s">
        <v>125</v>
      </c>
      <c r="H32" s="167" t="s">
        <v>125</v>
      </c>
      <c r="I32" s="24">
        <v>144.35</v>
      </c>
      <c r="J32" s="24">
        <v>85.54999999999998</v>
      </c>
      <c r="K32" s="24">
        <v>65.94999999999999</v>
      </c>
      <c r="L32" s="25">
        <v>0.865</v>
      </c>
      <c r="M32" s="24">
        <v>8.533037965573019</v>
      </c>
      <c r="N32" s="24">
        <v>8.1</v>
      </c>
      <c r="O32" s="26">
        <v>16.633037965573017</v>
      </c>
      <c r="P32" s="27">
        <v>0.18217757300329096</v>
      </c>
      <c r="Q32" s="28">
        <v>0.23812894554671626</v>
      </c>
      <c r="R32" s="28">
        <v>0.7650374992634034</v>
      </c>
      <c r="S32" s="101">
        <v>0.6461468770256408</v>
      </c>
      <c r="T32" s="318" t="s">
        <v>158</v>
      </c>
      <c r="U32" s="28">
        <v>1.1264005904127794</v>
      </c>
      <c r="V32" s="323">
        <v>0.5632002952063897</v>
      </c>
      <c r="W32" s="27">
        <v>0.18217757300329096</v>
      </c>
      <c r="X32" s="28">
        <v>0.3385895944492372</v>
      </c>
      <c r="Y32" s="28">
        <v>0.5380483511303057</v>
      </c>
      <c r="Z32" s="102">
        <v>1.2703670343916593</v>
      </c>
      <c r="AA32" s="92" t="s">
        <v>158</v>
      </c>
      <c r="AB32" s="28">
        <v>1.5655937004231868</v>
      </c>
      <c r="AC32" s="28">
        <v>0.7827968502115934</v>
      </c>
      <c r="AD32" s="27">
        <v>0.18217757300329096</v>
      </c>
      <c r="AE32" s="28">
        <v>0.19050315643737298</v>
      </c>
      <c r="AF32" s="28">
        <v>0.9562968740792543</v>
      </c>
      <c r="AG32" s="101">
        <v>0.12018359628205055</v>
      </c>
      <c r="AH32" s="318" t="s">
        <v>158</v>
      </c>
      <c r="AI32" s="30">
        <v>0.5360167563937386</v>
      </c>
      <c r="AJ32" s="328">
        <v>0.2680083781968693</v>
      </c>
      <c r="AL32" s="296">
        <v>1</v>
      </c>
      <c r="AM32" s="44">
        <v>1</v>
      </c>
      <c r="AN32" s="50">
        <v>-0.23496250073659664</v>
      </c>
      <c r="AO32" s="51">
        <v>0</v>
      </c>
      <c r="AP32" s="51">
        <v>-0.23496250073659664</v>
      </c>
      <c r="AQ32" s="50">
        <v>-0.4619516488696943</v>
      </c>
      <c r="AR32" s="51">
        <v>0</v>
      </c>
      <c r="AS32" s="51">
        <v>-0.4619516488696943</v>
      </c>
      <c r="AT32" s="50">
        <v>-0.043703125920745656</v>
      </c>
      <c r="AU32" s="51">
        <v>0</v>
      </c>
      <c r="AV32" s="51">
        <v>-0.043703125920745656</v>
      </c>
      <c r="AW32" s="52">
        <v>1</v>
      </c>
      <c r="AX32" s="52">
        <v>3</v>
      </c>
      <c r="AY32" s="44">
        <v>0.5632002952063897</v>
      </c>
      <c r="AZ32" s="45">
        <v>0.7827968502115934</v>
      </c>
      <c r="BA32" s="46">
        <v>0.2680083781968693</v>
      </c>
    </row>
    <row r="33" spans="1:53" ht="13.5">
      <c r="A33" s="19">
        <v>1</v>
      </c>
      <c r="B33" s="163">
        <v>9.5</v>
      </c>
      <c r="C33" s="164" t="s">
        <v>156</v>
      </c>
      <c r="D33" s="165">
        <v>45</v>
      </c>
      <c r="E33" s="166">
        <v>2</v>
      </c>
      <c r="F33" s="166">
        <v>100</v>
      </c>
      <c r="G33" s="167" t="s">
        <v>125</v>
      </c>
      <c r="H33" s="167" t="s">
        <v>125</v>
      </c>
      <c r="I33" s="24">
        <v>152.73</v>
      </c>
      <c r="J33" s="24">
        <v>89.02999999999999</v>
      </c>
      <c r="K33" s="24">
        <v>69.42999999999998</v>
      </c>
      <c r="L33" s="25">
        <v>0.8575</v>
      </c>
      <c r="M33" s="24">
        <v>2.376125914733358</v>
      </c>
      <c r="N33" s="24">
        <v>10.5</v>
      </c>
      <c r="O33" s="26">
        <v>12.876125914733358</v>
      </c>
      <c r="P33" s="27">
        <v>0.14973120268324475</v>
      </c>
      <c r="Q33" s="28">
        <v>0.24000562157647906</v>
      </c>
      <c r="R33" s="28">
        <v>0.6238653982341498</v>
      </c>
      <c r="S33" s="101">
        <v>0.9873533296353568</v>
      </c>
      <c r="T33" s="318" t="s">
        <v>158</v>
      </c>
      <c r="U33" s="28">
        <v>2.093402746916172</v>
      </c>
      <c r="V33" s="323">
        <v>1.046701373458086</v>
      </c>
      <c r="W33" s="27">
        <v>0.14973120268324475</v>
      </c>
      <c r="X33" s="28">
        <v>0.34125799317905614</v>
      </c>
      <c r="Y33" s="28">
        <v>0.4387624778789625</v>
      </c>
      <c r="Z33" s="102">
        <v>1.4732484955677234</v>
      </c>
      <c r="AA33" s="92" t="s">
        <v>158</v>
      </c>
      <c r="AB33" s="28">
        <v>2.523976633969682</v>
      </c>
      <c r="AC33" s="28">
        <v>1.261988316984841</v>
      </c>
      <c r="AD33" s="27">
        <v>0.14973120268324475</v>
      </c>
      <c r="AE33" s="28">
        <v>0.19200449726118318</v>
      </c>
      <c r="AF33" s="28">
        <v>0.7798317477926874</v>
      </c>
      <c r="AG33" s="101">
        <v>0.5779416620441956</v>
      </c>
      <c r="AH33" s="318" t="s">
        <v>158</v>
      </c>
      <c r="AI33" s="30">
        <v>1.6639845294706204</v>
      </c>
      <c r="AJ33" s="328">
        <v>0.8319922647353102</v>
      </c>
      <c r="AL33" s="296">
        <v>1</v>
      </c>
      <c r="AM33" s="44">
        <v>1</v>
      </c>
      <c r="AN33" s="50">
        <v>-0.37613460176585023</v>
      </c>
      <c r="AO33" s="51">
        <v>0</v>
      </c>
      <c r="AP33" s="51">
        <v>-0.37613460176585023</v>
      </c>
      <c r="AQ33" s="50">
        <v>-0.5612375221210375</v>
      </c>
      <c r="AR33" s="51">
        <v>0</v>
      </c>
      <c r="AS33" s="51">
        <v>-0.5612375221210375</v>
      </c>
      <c r="AT33" s="50">
        <v>-0.22016825220731262</v>
      </c>
      <c r="AU33" s="51">
        <v>0</v>
      </c>
      <c r="AV33" s="51">
        <v>-0.22016825220731262</v>
      </c>
      <c r="AW33" s="52">
        <v>1</v>
      </c>
      <c r="AX33" s="52">
        <v>3</v>
      </c>
      <c r="AY33" s="44">
        <v>1.046701373458086</v>
      </c>
      <c r="AZ33" s="45">
        <v>1.261988316984841</v>
      </c>
      <c r="BA33" s="46">
        <v>0.8319922647353102</v>
      </c>
    </row>
    <row r="34" spans="1:53" ht="13.5">
      <c r="A34" s="19">
        <v>1</v>
      </c>
      <c r="B34" s="279">
        <v>10</v>
      </c>
      <c r="C34" s="280" t="s">
        <v>156</v>
      </c>
      <c r="D34" s="281">
        <v>45</v>
      </c>
      <c r="E34" s="282">
        <v>2</v>
      </c>
      <c r="F34" s="282">
        <v>100</v>
      </c>
      <c r="G34" s="283" t="s">
        <v>125</v>
      </c>
      <c r="H34" s="283" t="s">
        <v>125</v>
      </c>
      <c r="I34" s="284">
        <v>161.10999999999999</v>
      </c>
      <c r="J34" s="284">
        <v>92.50999999999998</v>
      </c>
      <c r="K34" s="284">
        <v>72.90999999999998</v>
      </c>
      <c r="L34" s="285">
        <v>0.85</v>
      </c>
      <c r="M34" s="284">
        <v>2.318726280728944</v>
      </c>
      <c r="N34" s="284">
        <v>10.5</v>
      </c>
      <c r="O34" s="288">
        <v>12.818726280728944</v>
      </c>
      <c r="P34" s="258">
        <v>0.14932666274670925</v>
      </c>
      <c r="Q34" s="260">
        <v>0.2415194157811142</v>
      </c>
      <c r="R34" s="260">
        <v>0.6182801588177159</v>
      </c>
      <c r="S34" s="455">
        <v>0.9542996029557103</v>
      </c>
      <c r="T34" s="320" t="s">
        <v>158</v>
      </c>
      <c r="U34" s="260">
        <v>2.12937202711211</v>
      </c>
      <c r="V34" s="324">
        <v>1.064686013556055</v>
      </c>
      <c r="W34" s="258">
        <v>0.14932666274670925</v>
      </c>
      <c r="X34" s="260">
        <v>0.34341041931377175</v>
      </c>
      <c r="Y34" s="260">
        <v>0.43483439741026175</v>
      </c>
      <c r="Z34" s="455">
        <v>1.4129140064743457</v>
      </c>
      <c r="AA34" s="261" t="s">
        <v>158</v>
      </c>
      <c r="AB34" s="260">
        <v>2.5478382367542536</v>
      </c>
      <c r="AC34" s="260">
        <v>1.2739191183771268</v>
      </c>
      <c r="AD34" s="258">
        <v>0.14932666274670925</v>
      </c>
      <c r="AE34" s="260">
        <v>0.19321553262489133</v>
      </c>
      <c r="AF34" s="260">
        <v>0.772850198522145</v>
      </c>
      <c r="AG34" s="455">
        <v>0.5678745036946375</v>
      </c>
      <c r="AH34" s="320" t="s">
        <v>158</v>
      </c>
      <c r="AI34" s="287">
        <v>1.6946918714231178</v>
      </c>
      <c r="AJ34" s="329">
        <v>0.8473459357115589</v>
      </c>
      <c r="AL34" s="297">
        <v>1</v>
      </c>
      <c r="AM34" s="289">
        <v>1</v>
      </c>
      <c r="AN34" s="290">
        <v>-0.3817198411822841</v>
      </c>
      <c r="AO34" s="291">
        <v>0</v>
      </c>
      <c r="AP34" s="291">
        <v>-0.3817198411822841</v>
      </c>
      <c r="AQ34" s="290">
        <v>-0.5651656025897382</v>
      </c>
      <c r="AR34" s="291">
        <v>0</v>
      </c>
      <c r="AS34" s="291">
        <v>-0.5651656025897382</v>
      </c>
      <c r="AT34" s="290">
        <v>-0.22714980147785502</v>
      </c>
      <c r="AU34" s="291">
        <v>0</v>
      </c>
      <c r="AV34" s="291">
        <v>-0.22714980147785502</v>
      </c>
      <c r="AW34" s="292">
        <v>1</v>
      </c>
      <c r="AX34" s="292">
        <v>3</v>
      </c>
      <c r="AY34" s="289">
        <v>1.064686013556055</v>
      </c>
      <c r="AZ34" s="293">
        <v>1.2739191183771268</v>
      </c>
      <c r="BA34" s="46">
        <v>0.8473459357115589</v>
      </c>
    </row>
    <row r="35" spans="1:53" ht="13.5">
      <c r="A35" s="19">
        <v>1</v>
      </c>
      <c r="B35" s="163">
        <v>10.5</v>
      </c>
      <c r="C35" s="164" t="s">
        <v>156</v>
      </c>
      <c r="D35" s="165">
        <v>45</v>
      </c>
      <c r="E35" s="166">
        <v>2</v>
      </c>
      <c r="F35" s="166">
        <v>100</v>
      </c>
      <c r="G35" s="167" t="s">
        <v>125</v>
      </c>
      <c r="H35" s="167" t="s">
        <v>125</v>
      </c>
      <c r="I35" s="24">
        <v>175.98000000000002</v>
      </c>
      <c r="J35" s="24">
        <v>102.48000000000002</v>
      </c>
      <c r="K35" s="24">
        <v>82.88000000000001</v>
      </c>
      <c r="L35" s="25">
        <v>0.8425</v>
      </c>
      <c r="M35" s="24">
        <v>2.1747941810042</v>
      </c>
      <c r="N35" s="24">
        <v>10.5</v>
      </c>
      <c r="O35" s="26">
        <v>12.6747941810042</v>
      </c>
      <c r="P35" s="27">
        <v>0.14831776441533384</v>
      </c>
      <c r="Q35" s="28">
        <v>0.23604424331331544</v>
      </c>
      <c r="R35" s="28">
        <v>0.6283473061381248</v>
      </c>
      <c r="S35" s="101">
        <v>0.8826751479219535</v>
      </c>
      <c r="T35" s="318" t="s">
        <v>158</v>
      </c>
      <c r="U35" s="28">
        <v>2.1373949181322507</v>
      </c>
      <c r="V35" s="323">
        <v>1.0686974590661253</v>
      </c>
      <c r="W35" s="27">
        <v>0.14831776441533384</v>
      </c>
      <c r="X35" s="28">
        <v>0.33562540846112043</v>
      </c>
      <c r="Y35" s="28">
        <v>0.4419145889323075</v>
      </c>
      <c r="Z35" s="102">
        <v>1.3254528512857697</v>
      </c>
      <c r="AA35" s="92" t="s">
        <v>158</v>
      </c>
      <c r="AB35" s="28">
        <v>2.5771947250683813</v>
      </c>
      <c r="AC35" s="28">
        <v>1.2885973625341907</v>
      </c>
      <c r="AD35" s="27">
        <v>0.14831776441533384</v>
      </c>
      <c r="AE35" s="28">
        <v>0.18883539465065233</v>
      </c>
      <c r="AF35" s="28">
        <v>0.7854341326726562</v>
      </c>
      <c r="AG35" s="101">
        <v>0.5095939349024416</v>
      </c>
      <c r="AH35" s="318" t="s">
        <v>158</v>
      </c>
      <c r="AI35" s="30">
        <v>1.686058913362462</v>
      </c>
      <c r="AJ35" s="328">
        <v>0.843029456681231</v>
      </c>
      <c r="AL35" s="296">
        <v>1</v>
      </c>
      <c r="AM35" s="44">
        <v>1</v>
      </c>
      <c r="AN35" s="50">
        <v>-0.37165269386187516</v>
      </c>
      <c r="AO35" s="51">
        <v>0</v>
      </c>
      <c r="AP35" s="51">
        <v>-0.37165269386187516</v>
      </c>
      <c r="AQ35" s="50">
        <v>-0.5580854110676925</v>
      </c>
      <c r="AR35" s="51">
        <v>0</v>
      </c>
      <c r="AS35" s="51">
        <v>-0.5580854110676925</v>
      </c>
      <c r="AT35" s="50">
        <v>-0.21456586732734384</v>
      </c>
      <c r="AU35" s="51">
        <v>0</v>
      </c>
      <c r="AV35" s="51">
        <v>-0.21456586732734384</v>
      </c>
      <c r="AW35" s="52">
        <v>1</v>
      </c>
      <c r="AX35" s="52">
        <v>3</v>
      </c>
      <c r="AY35" s="44">
        <v>1.0686974590661253</v>
      </c>
      <c r="AZ35" s="45">
        <v>1.2885973625341907</v>
      </c>
      <c r="BA35" s="46">
        <v>0.843029456681231</v>
      </c>
    </row>
    <row r="36" spans="1:53" ht="13.5">
      <c r="A36" s="19">
        <v>1</v>
      </c>
      <c r="B36" s="163">
        <v>11</v>
      </c>
      <c r="C36" s="164" t="s">
        <v>156</v>
      </c>
      <c r="D36" s="165">
        <v>45</v>
      </c>
      <c r="E36" s="166">
        <v>2</v>
      </c>
      <c r="F36" s="166">
        <v>100</v>
      </c>
      <c r="G36" s="167" t="s">
        <v>125</v>
      </c>
      <c r="H36" s="167" t="s">
        <v>125</v>
      </c>
      <c r="I36" s="24">
        <v>184.36</v>
      </c>
      <c r="J36" s="24">
        <v>105.96000000000001</v>
      </c>
      <c r="K36" s="24">
        <v>86.36000000000001</v>
      </c>
      <c r="L36" s="25">
        <v>0.835</v>
      </c>
      <c r="M36" s="24">
        <v>2.1305254023460236</v>
      </c>
      <c r="N36" s="24">
        <v>10.5</v>
      </c>
      <c r="O36" s="26">
        <v>12.630525402346024</v>
      </c>
      <c r="P36" s="27">
        <v>0.14800895413581824</v>
      </c>
      <c r="Q36" s="28">
        <v>0.2370339383247264</v>
      </c>
      <c r="R36" s="28">
        <v>0.6244209381234356</v>
      </c>
      <c r="S36" s="101">
        <v>0.84505288922227</v>
      </c>
      <c r="T36" s="318" t="s">
        <v>158</v>
      </c>
      <c r="U36" s="28">
        <v>2.1637739411719945</v>
      </c>
      <c r="V36" s="323">
        <v>1.0818869705859973</v>
      </c>
      <c r="W36" s="27">
        <v>0.14800895413581824</v>
      </c>
      <c r="X36" s="28">
        <v>0.3370326310554704</v>
      </c>
      <c r="Y36" s="28">
        <v>0.43915318725164704</v>
      </c>
      <c r="Z36" s="102">
        <v>1.2619053286837942</v>
      </c>
      <c r="AA36" s="92" t="s">
        <v>158</v>
      </c>
      <c r="AB36" s="28">
        <v>2.5950487926745818</v>
      </c>
      <c r="AC36" s="28">
        <v>1.2975243963372909</v>
      </c>
      <c r="AD36" s="27">
        <v>0.14800895413581824</v>
      </c>
      <c r="AE36" s="28">
        <v>0.1896271506597811</v>
      </c>
      <c r="AF36" s="28">
        <v>0.7805261726542946</v>
      </c>
      <c r="AG36" s="101">
        <v>0.4938161115278372</v>
      </c>
      <c r="AH36" s="318" t="s">
        <v>158</v>
      </c>
      <c r="AI36" s="30">
        <v>1.710438021146423</v>
      </c>
      <c r="AJ36" s="328">
        <v>0.8552190105732115</v>
      </c>
      <c r="AL36" s="296">
        <v>1</v>
      </c>
      <c r="AM36" s="44">
        <v>1</v>
      </c>
      <c r="AN36" s="50">
        <v>-0.3755790618765644</v>
      </c>
      <c r="AO36" s="51">
        <v>0</v>
      </c>
      <c r="AP36" s="51">
        <v>-0.3755790618765644</v>
      </c>
      <c r="AQ36" s="50">
        <v>-0.560846812748353</v>
      </c>
      <c r="AR36" s="51">
        <v>0</v>
      </c>
      <c r="AS36" s="51">
        <v>-0.560846812748353</v>
      </c>
      <c r="AT36" s="50">
        <v>-0.21947382734570542</v>
      </c>
      <c r="AU36" s="51">
        <v>0</v>
      </c>
      <c r="AV36" s="51">
        <v>-0.21947382734570542</v>
      </c>
      <c r="AW36" s="52">
        <v>1</v>
      </c>
      <c r="AX36" s="52">
        <v>3</v>
      </c>
      <c r="AY36" s="44">
        <v>1.0818869705859973</v>
      </c>
      <c r="AZ36" s="45">
        <v>1.2975243963372909</v>
      </c>
      <c r="BA36" s="46">
        <v>0.8552190105732115</v>
      </c>
    </row>
    <row r="37" spans="1:53" ht="13.5">
      <c r="A37" s="19">
        <v>1</v>
      </c>
      <c r="B37" s="163">
        <v>11.5</v>
      </c>
      <c r="C37" s="164" t="s">
        <v>96</v>
      </c>
      <c r="D37" s="165">
        <v>6</v>
      </c>
      <c r="E37" s="166">
        <v>22</v>
      </c>
      <c r="F37" s="166">
        <v>100</v>
      </c>
      <c r="G37" s="167" t="s">
        <v>125</v>
      </c>
      <c r="H37" s="167" t="s">
        <v>125</v>
      </c>
      <c r="I37" s="24">
        <v>192.59</v>
      </c>
      <c r="J37" s="24">
        <v>109.28999999999999</v>
      </c>
      <c r="K37" s="24">
        <v>89.69</v>
      </c>
      <c r="L37" s="25">
        <v>0.8275</v>
      </c>
      <c r="M37" s="24">
        <v>22.996603994827254</v>
      </c>
      <c r="N37" s="24">
        <v>1.1999999999999993</v>
      </c>
      <c r="O37" s="26">
        <v>24.196603994827253</v>
      </c>
      <c r="P37" s="27">
        <v>0.4059501975159355</v>
      </c>
      <c r="Q37" s="28">
        <v>0.2379143385356602</v>
      </c>
      <c r="R37" s="28">
        <v>1.7062872293217792</v>
      </c>
      <c r="S37" s="101" t="s">
        <v>125</v>
      </c>
      <c r="T37" s="318" t="s">
        <v>125</v>
      </c>
      <c r="U37" s="28" t="s">
        <v>125</v>
      </c>
      <c r="V37" s="323" t="s">
        <v>125</v>
      </c>
      <c r="W37" s="27">
        <v>0.4059501975159355</v>
      </c>
      <c r="X37" s="28">
        <v>0.3382844501053919</v>
      </c>
      <c r="Y37" s="28">
        <v>1.2000261832592733</v>
      </c>
      <c r="Z37" s="102" t="s">
        <v>125</v>
      </c>
      <c r="AA37" s="92" t="s">
        <v>125</v>
      </c>
      <c r="AB37" s="28" t="s">
        <v>125</v>
      </c>
      <c r="AC37" s="28" t="s">
        <v>125</v>
      </c>
      <c r="AD37" s="27">
        <v>0.4059501975159355</v>
      </c>
      <c r="AE37" s="28">
        <v>0.19033147082852817</v>
      </c>
      <c r="AF37" s="28">
        <v>2.132859036652224</v>
      </c>
      <c r="AG37" s="101" t="s">
        <v>125</v>
      </c>
      <c r="AH37" s="318" t="s">
        <v>125</v>
      </c>
      <c r="AI37" s="30" t="s">
        <v>125</v>
      </c>
      <c r="AJ37" s="328" t="s">
        <v>125</v>
      </c>
      <c r="AL37" s="296">
        <v>1</v>
      </c>
      <c r="AM37" s="44">
        <v>1</v>
      </c>
      <c r="AN37" s="50">
        <v>0.7062872293217792</v>
      </c>
      <c r="AO37" s="51">
        <v>0.7062872293217792</v>
      </c>
      <c r="AP37" s="51">
        <v>0</v>
      </c>
      <c r="AQ37" s="50">
        <v>0.20002618325927335</v>
      </c>
      <c r="AR37" s="51">
        <v>0.20002618325927335</v>
      </c>
      <c r="AS37" s="51">
        <v>0</v>
      </c>
      <c r="AT37" s="50">
        <v>1.1328590366522242</v>
      </c>
      <c r="AU37" s="51">
        <v>1.1328590366522242</v>
      </c>
      <c r="AV37" s="51">
        <v>0</v>
      </c>
      <c r="AW37" s="52">
        <v>1</v>
      </c>
      <c r="AX37" s="52">
        <v>3</v>
      </c>
      <c r="AY37" s="44" t="s">
        <v>125</v>
      </c>
      <c r="AZ37" s="45" t="s">
        <v>125</v>
      </c>
      <c r="BA37" s="46" t="s">
        <v>125</v>
      </c>
    </row>
    <row r="38" spans="1:53" ht="13.5">
      <c r="A38" s="19">
        <v>1</v>
      </c>
      <c r="B38" s="163">
        <v>12</v>
      </c>
      <c r="C38" s="164" t="s">
        <v>96</v>
      </c>
      <c r="D38" s="165">
        <v>6</v>
      </c>
      <c r="E38" s="166">
        <v>22</v>
      </c>
      <c r="F38" s="166">
        <v>100</v>
      </c>
      <c r="G38" s="167" t="s">
        <v>125</v>
      </c>
      <c r="H38" s="167" t="s">
        <v>125</v>
      </c>
      <c r="I38" s="24">
        <v>200.82</v>
      </c>
      <c r="J38" s="24">
        <v>112.61999999999999</v>
      </c>
      <c r="K38" s="24">
        <v>93.01999999999998</v>
      </c>
      <c r="L38" s="25">
        <v>0.8200000000000001</v>
      </c>
      <c r="M38" s="24">
        <v>22.5812277548109</v>
      </c>
      <c r="N38" s="24">
        <v>1.1999999999999993</v>
      </c>
      <c r="O38" s="26">
        <v>23.7812277548109</v>
      </c>
      <c r="P38" s="27">
        <v>0.3809143461668887</v>
      </c>
      <c r="Q38" s="28">
        <v>0.23856383038179593</v>
      </c>
      <c r="R38" s="28">
        <v>1.5966978127290963</v>
      </c>
      <c r="S38" s="101" t="s">
        <v>125</v>
      </c>
      <c r="T38" s="318" t="s">
        <v>125</v>
      </c>
      <c r="U38" s="28" t="s">
        <v>125</v>
      </c>
      <c r="V38" s="323" t="s">
        <v>125</v>
      </c>
      <c r="W38" s="27">
        <v>0.3809143461668887</v>
      </c>
      <c r="X38" s="28">
        <v>0.3392079463241161</v>
      </c>
      <c r="Y38" s="28">
        <v>1.1229523078534303</v>
      </c>
      <c r="Z38" s="102" t="s">
        <v>125</v>
      </c>
      <c r="AA38" s="92" t="s">
        <v>125</v>
      </c>
      <c r="AB38" s="28" t="s">
        <v>125</v>
      </c>
      <c r="AC38" s="28" t="s">
        <v>125</v>
      </c>
      <c r="AD38" s="27">
        <v>0.3809143461668887</v>
      </c>
      <c r="AE38" s="28">
        <v>0.19085106430543675</v>
      </c>
      <c r="AF38" s="28">
        <v>1.9958722659113703</v>
      </c>
      <c r="AG38" s="101" t="s">
        <v>125</v>
      </c>
      <c r="AH38" s="318" t="s">
        <v>125</v>
      </c>
      <c r="AI38" s="30" t="s">
        <v>125</v>
      </c>
      <c r="AJ38" s="328" t="s">
        <v>125</v>
      </c>
      <c r="AL38" s="296">
        <v>1</v>
      </c>
      <c r="AM38" s="44">
        <v>1</v>
      </c>
      <c r="AN38" s="50">
        <v>0.5966978127290963</v>
      </c>
      <c r="AO38" s="51">
        <v>0.5966978127290963</v>
      </c>
      <c r="AP38" s="51">
        <v>0</v>
      </c>
      <c r="AQ38" s="50">
        <v>0.12295230785343025</v>
      </c>
      <c r="AR38" s="51">
        <v>0.12295230785343025</v>
      </c>
      <c r="AS38" s="51">
        <v>0</v>
      </c>
      <c r="AT38" s="50">
        <v>0.9958722659113703</v>
      </c>
      <c r="AU38" s="51">
        <v>0.9958722659113703</v>
      </c>
      <c r="AV38" s="51">
        <v>0</v>
      </c>
      <c r="AW38" s="52">
        <v>1</v>
      </c>
      <c r="AX38" s="52">
        <v>3</v>
      </c>
      <c r="AY38" s="44" t="s">
        <v>125</v>
      </c>
      <c r="AZ38" s="45" t="s">
        <v>125</v>
      </c>
      <c r="BA38" s="46" t="s">
        <v>125</v>
      </c>
    </row>
    <row r="39" spans="1:53" ht="13.5">
      <c r="A39" s="19">
        <v>1</v>
      </c>
      <c r="B39" s="163">
        <v>12.5</v>
      </c>
      <c r="C39" s="164" t="s">
        <v>96</v>
      </c>
      <c r="D39" s="165">
        <v>6</v>
      </c>
      <c r="E39" s="166">
        <v>22</v>
      </c>
      <c r="F39" s="166">
        <v>100</v>
      </c>
      <c r="G39" s="167" t="s">
        <v>125</v>
      </c>
      <c r="H39" s="167" t="s">
        <v>125</v>
      </c>
      <c r="I39" s="24">
        <v>209.04999999999998</v>
      </c>
      <c r="J39" s="24">
        <v>115.94999999999997</v>
      </c>
      <c r="K39" s="24">
        <v>96.34999999999998</v>
      </c>
      <c r="L39" s="25">
        <v>0.8125</v>
      </c>
      <c r="M39" s="24">
        <v>22.187576059496728</v>
      </c>
      <c r="N39" s="24">
        <v>1.1999999999999993</v>
      </c>
      <c r="O39" s="26">
        <v>23.387576059496727</v>
      </c>
      <c r="P39" s="27">
        <v>0.35931593080728363</v>
      </c>
      <c r="Q39" s="28">
        <v>0.23900230842599976</v>
      </c>
      <c r="R39" s="28">
        <v>1.5033994155689736</v>
      </c>
      <c r="S39" s="101" t="s">
        <v>125</v>
      </c>
      <c r="T39" s="319" t="s">
        <v>125</v>
      </c>
      <c r="U39" s="28" t="s">
        <v>125</v>
      </c>
      <c r="V39" s="323" t="s">
        <v>125</v>
      </c>
      <c r="W39" s="27">
        <v>0.35931593080728363</v>
      </c>
      <c r="X39" s="28">
        <v>0.3398314072932184</v>
      </c>
      <c r="Y39" s="28">
        <v>1.0573358527078496</v>
      </c>
      <c r="Z39" s="102" t="s">
        <v>125</v>
      </c>
      <c r="AA39" s="93" t="s">
        <v>125</v>
      </c>
      <c r="AB39" s="28" t="s">
        <v>125</v>
      </c>
      <c r="AC39" s="28" t="s">
        <v>125</v>
      </c>
      <c r="AD39" s="27">
        <v>0.35931593080728363</v>
      </c>
      <c r="AE39" s="28">
        <v>0.1912018467407998</v>
      </c>
      <c r="AF39" s="28">
        <v>1.8792492694612173</v>
      </c>
      <c r="AG39" s="101" t="s">
        <v>125</v>
      </c>
      <c r="AH39" s="319" t="s">
        <v>125</v>
      </c>
      <c r="AI39" s="30" t="s">
        <v>125</v>
      </c>
      <c r="AJ39" s="328" t="s">
        <v>125</v>
      </c>
      <c r="AL39" s="296">
        <v>1</v>
      </c>
      <c r="AM39" s="44">
        <v>1</v>
      </c>
      <c r="AN39" s="50">
        <v>0.5033994155689736</v>
      </c>
      <c r="AO39" s="51">
        <v>0.5033994155689736</v>
      </c>
      <c r="AP39" s="51">
        <v>0</v>
      </c>
      <c r="AQ39" s="50">
        <v>0.05733585270784958</v>
      </c>
      <c r="AR39" s="51">
        <v>0.05733585270784958</v>
      </c>
      <c r="AS39" s="51">
        <v>0</v>
      </c>
      <c r="AT39" s="50">
        <v>0.8792492694612173</v>
      </c>
      <c r="AU39" s="51">
        <v>0.8792492694612173</v>
      </c>
      <c r="AV39" s="51">
        <v>0</v>
      </c>
      <c r="AW39" s="52">
        <v>1</v>
      </c>
      <c r="AX39" s="52">
        <v>3</v>
      </c>
      <c r="AY39" s="44" t="s">
        <v>125</v>
      </c>
      <c r="AZ39" s="45" t="s">
        <v>125</v>
      </c>
      <c r="BA39" s="46" t="s">
        <v>125</v>
      </c>
    </row>
    <row r="40" spans="1:53" ht="13.5">
      <c r="A40" s="19">
        <v>1</v>
      </c>
      <c r="B40" s="163">
        <v>13</v>
      </c>
      <c r="C40" s="164" t="s">
        <v>96</v>
      </c>
      <c r="D40" s="165">
        <v>6</v>
      </c>
      <c r="E40" s="166">
        <v>22</v>
      </c>
      <c r="F40" s="166">
        <v>100</v>
      </c>
      <c r="G40" s="167" t="s">
        <v>125</v>
      </c>
      <c r="H40" s="167" t="s">
        <v>125</v>
      </c>
      <c r="I40" s="24">
        <v>217.27999999999997</v>
      </c>
      <c r="J40" s="24">
        <v>119.27999999999997</v>
      </c>
      <c r="K40" s="24">
        <v>99.67999999999996</v>
      </c>
      <c r="L40" s="25">
        <v>0.8049999999999999</v>
      </c>
      <c r="M40" s="24">
        <v>21.813818937297835</v>
      </c>
      <c r="N40" s="24">
        <v>1.1999999999999993</v>
      </c>
      <c r="O40" s="26">
        <v>23.013818937297835</v>
      </c>
      <c r="P40" s="27">
        <v>0.34057057599361334</v>
      </c>
      <c r="Q40" s="28">
        <v>0.23924744560490224</v>
      </c>
      <c r="R40" s="28">
        <v>1.4235076789745043</v>
      </c>
      <c r="S40" s="101" t="s">
        <v>125</v>
      </c>
      <c r="T40" s="319" t="s">
        <v>125</v>
      </c>
      <c r="U40" s="28" t="s">
        <v>125</v>
      </c>
      <c r="V40" s="323" t="s">
        <v>125</v>
      </c>
      <c r="W40" s="27">
        <v>0.34057057599361334</v>
      </c>
      <c r="X40" s="28">
        <v>0.3401799617194704</v>
      </c>
      <c r="Y40" s="28">
        <v>1.0011482577403106</v>
      </c>
      <c r="Z40" s="102" t="s">
        <v>125</v>
      </c>
      <c r="AA40" s="93" t="s">
        <v>125</v>
      </c>
      <c r="AB40" s="28" t="s">
        <v>125</v>
      </c>
      <c r="AC40" s="28" t="s">
        <v>125</v>
      </c>
      <c r="AD40" s="27">
        <v>0.34057057599361334</v>
      </c>
      <c r="AE40" s="28">
        <v>0.19139795648392177</v>
      </c>
      <c r="AF40" s="28">
        <v>1.7793845987181305</v>
      </c>
      <c r="AG40" s="101" t="s">
        <v>125</v>
      </c>
      <c r="AH40" s="319" t="s">
        <v>125</v>
      </c>
      <c r="AI40" s="30" t="s">
        <v>125</v>
      </c>
      <c r="AJ40" s="328" t="s">
        <v>125</v>
      </c>
      <c r="AL40" s="296">
        <v>1</v>
      </c>
      <c r="AM40" s="44">
        <v>1</v>
      </c>
      <c r="AN40" s="50">
        <v>0.42350767897450425</v>
      </c>
      <c r="AO40" s="51">
        <v>0.42350767897450425</v>
      </c>
      <c r="AP40" s="51">
        <v>0</v>
      </c>
      <c r="AQ40" s="50">
        <v>0.0011482577403105765</v>
      </c>
      <c r="AR40" s="51">
        <v>0.0011482577403105765</v>
      </c>
      <c r="AS40" s="51">
        <v>0</v>
      </c>
      <c r="AT40" s="50">
        <v>0.7793845987181305</v>
      </c>
      <c r="AU40" s="51">
        <v>0.7793845987181305</v>
      </c>
      <c r="AV40" s="51">
        <v>0</v>
      </c>
      <c r="AW40" s="52">
        <v>1</v>
      </c>
      <c r="AX40" s="52">
        <v>3</v>
      </c>
      <c r="AY40" s="44" t="s">
        <v>125</v>
      </c>
      <c r="AZ40" s="45" t="s">
        <v>125</v>
      </c>
      <c r="BA40" s="46" t="s">
        <v>125</v>
      </c>
    </row>
    <row r="41" spans="1:53" ht="13.5">
      <c r="A41" s="19">
        <v>1</v>
      </c>
      <c r="B41" s="163">
        <v>13.5</v>
      </c>
      <c r="C41" s="164" t="s">
        <v>96</v>
      </c>
      <c r="D41" s="165">
        <v>6</v>
      </c>
      <c r="E41" s="166">
        <v>22</v>
      </c>
      <c r="F41" s="166">
        <v>100</v>
      </c>
      <c r="G41" s="167" t="s">
        <v>125</v>
      </c>
      <c r="H41" s="167" t="s">
        <v>125</v>
      </c>
      <c r="I41" s="24">
        <v>225.50999999999996</v>
      </c>
      <c r="J41" s="24">
        <v>122.60999999999996</v>
      </c>
      <c r="K41" s="24">
        <v>103.00999999999995</v>
      </c>
      <c r="L41" s="25">
        <v>0.7975</v>
      </c>
      <c r="M41" s="24">
        <v>21.458335198706557</v>
      </c>
      <c r="N41" s="24">
        <v>1.1999999999999993</v>
      </c>
      <c r="O41" s="26">
        <v>22.658335198706556</v>
      </c>
      <c r="P41" s="27">
        <v>0.324209167070059</v>
      </c>
      <c r="Q41" s="28">
        <v>0.23931499491780506</v>
      </c>
      <c r="R41" s="28">
        <v>1.3547382067781069</v>
      </c>
      <c r="S41" s="101" t="s">
        <v>125</v>
      </c>
      <c r="T41" s="319" t="s">
        <v>125</v>
      </c>
      <c r="U41" s="28" t="s">
        <v>125</v>
      </c>
      <c r="V41" s="323" t="s">
        <v>125</v>
      </c>
      <c r="W41" s="27">
        <v>0.324209167070059</v>
      </c>
      <c r="X41" s="28">
        <v>0.3402760083987541</v>
      </c>
      <c r="Y41" s="28">
        <v>0.9527829146571299</v>
      </c>
      <c r="Z41" s="102">
        <v>0.07672776368216384</v>
      </c>
      <c r="AA41" s="93" t="s">
        <v>158</v>
      </c>
      <c r="AB41" s="28">
        <v>0.5918687845158235</v>
      </c>
      <c r="AC41" s="28">
        <v>0.29593439225791174</v>
      </c>
      <c r="AD41" s="27">
        <v>0.324209167070059</v>
      </c>
      <c r="AE41" s="28">
        <v>0.19145199593424403</v>
      </c>
      <c r="AF41" s="28">
        <v>1.6934227584726338</v>
      </c>
      <c r="AG41" s="101" t="s">
        <v>125</v>
      </c>
      <c r="AH41" s="319" t="s">
        <v>125</v>
      </c>
      <c r="AI41" s="30" t="s">
        <v>125</v>
      </c>
      <c r="AJ41" s="328" t="s">
        <v>125</v>
      </c>
      <c r="AL41" s="296">
        <v>1</v>
      </c>
      <c r="AM41" s="44">
        <v>1</v>
      </c>
      <c r="AN41" s="50">
        <v>0.35473820677810686</v>
      </c>
      <c r="AO41" s="51">
        <v>0.35473820677810686</v>
      </c>
      <c r="AP41" s="51">
        <v>0</v>
      </c>
      <c r="AQ41" s="50">
        <v>-0.04721708534287006</v>
      </c>
      <c r="AR41" s="51">
        <v>0</v>
      </c>
      <c r="AS41" s="51">
        <v>-0.04721708534287006</v>
      </c>
      <c r="AT41" s="50">
        <v>0.6934227584726338</v>
      </c>
      <c r="AU41" s="51">
        <v>0.6934227584726338</v>
      </c>
      <c r="AV41" s="51">
        <v>0</v>
      </c>
      <c r="AW41" s="52">
        <v>1</v>
      </c>
      <c r="AX41" s="52">
        <v>3</v>
      </c>
      <c r="AY41" s="44" t="s">
        <v>125</v>
      </c>
      <c r="AZ41" s="45">
        <v>0.29593439225791174</v>
      </c>
      <c r="BA41" s="46" t="s">
        <v>125</v>
      </c>
    </row>
    <row r="42" spans="1:53" ht="13.5">
      <c r="A42" s="19">
        <v>1</v>
      </c>
      <c r="B42" s="163">
        <v>14</v>
      </c>
      <c r="C42" s="164" t="s">
        <v>96</v>
      </c>
      <c r="D42" s="165">
        <v>6</v>
      </c>
      <c r="E42" s="166">
        <v>22</v>
      </c>
      <c r="F42" s="166">
        <v>100</v>
      </c>
      <c r="G42" s="167" t="s">
        <v>125</v>
      </c>
      <c r="H42" s="167" t="s">
        <v>125</v>
      </c>
      <c r="I42" s="24">
        <v>233.73999999999995</v>
      </c>
      <c r="J42" s="24">
        <v>125.93999999999994</v>
      </c>
      <c r="K42" s="24">
        <v>106.33999999999995</v>
      </c>
      <c r="L42" s="25">
        <v>0.79</v>
      </c>
      <c r="M42" s="24">
        <v>21.11968277612683</v>
      </c>
      <c r="N42" s="24">
        <v>1.1999999999999993</v>
      </c>
      <c r="O42" s="26">
        <v>22.31968277612683</v>
      </c>
      <c r="P42" s="27">
        <v>0.30985225775061587</v>
      </c>
      <c r="Q42" s="28">
        <v>0.2392190432535547</v>
      </c>
      <c r="R42" s="28">
        <v>1.2952658514823803</v>
      </c>
      <c r="S42" s="101" t="s">
        <v>125</v>
      </c>
      <c r="T42" s="319" t="s">
        <v>125</v>
      </c>
      <c r="U42" s="28" t="s">
        <v>125</v>
      </c>
      <c r="V42" s="323" t="s">
        <v>125</v>
      </c>
      <c r="W42" s="27">
        <v>0.30985225775061587</v>
      </c>
      <c r="X42" s="28">
        <v>0.3401395771261481</v>
      </c>
      <c r="Y42" s="28">
        <v>0.9109562032403552</v>
      </c>
      <c r="Z42" s="102">
        <v>0.1335656951394672</v>
      </c>
      <c r="AA42" s="93" t="s">
        <v>158</v>
      </c>
      <c r="AB42" s="28">
        <v>0.6352994762221466</v>
      </c>
      <c r="AC42" s="28">
        <v>0.3176497381110733</v>
      </c>
      <c r="AD42" s="27">
        <v>0.30985225775061587</v>
      </c>
      <c r="AE42" s="28">
        <v>0.1913752346028437</v>
      </c>
      <c r="AF42" s="28">
        <v>1.6190823143529758</v>
      </c>
      <c r="AG42" s="101" t="s">
        <v>125</v>
      </c>
      <c r="AH42" s="319" t="s">
        <v>125</v>
      </c>
      <c r="AI42" s="30" t="s">
        <v>125</v>
      </c>
      <c r="AJ42" s="328" t="s">
        <v>125</v>
      </c>
      <c r="AL42" s="296">
        <v>1</v>
      </c>
      <c r="AM42" s="44">
        <v>1</v>
      </c>
      <c r="AN42" s="50">
        <v>0.29526585148238027</v>
      </c>
      <c r="AO42" s="51">
        <v>0.29526585148238027</v>
      </c>
      <c r="AP42" s="51">
        <v>0</v>
      </c>
      <c r="AQ42" s="50">
        <v>-0.0890437967596448</v>
      </c>
      <c r="AR42" s="51">
        <v>0</v>
      </c>
      <c r="AS42" s="51">
        <v>-0.0890437967596448</v>
      </c>
      <c r="AT42" s="50">
        <v>0.6190823143529758</v>
      </c>
      <c r="AU42" s="51">
        <v>0.6190823143529758</v>
      </c>
      <c r="AV42" s="51">
        <v>0</v>
      </c>
      <c r="AW42" s="52">
        <v>1</v>
      </c>
      <c r="AX42" s="52">
        <v>3</v>
      </c>
      <c r="AY42" s="44" t="s">
        <v>125</v>
      </c>
      <c r="AZ42" s="45">
        <v>0.3176497381110733</v>
      </c>
      <c r="BA42" s="46" t="s">
        <v>125</v>
      </c>
    </row>
    <row r="43" spans="1:53" ht="13.5">
      <c r="A43" s="19">
        <v>1</v>
      </c>
      <c r="B43" s="163">
        <v>14.5</v>
      </c>
      <c r="C43" s="164" t="s">
        <v>96</v>
      </c>
      <c r="D43" s="165">
        <v>6</v>
      </c>
      <c r="E43" s="166">
        <v>43</v>
      </c>
      <c r="F43" s="166">
        <v>100</v>
      </c>
      <c r="G43" s="167" t="s">
        <v>125</v>
      </c>
      <c r="H43" s="167" t="s">
        <v>125</v>
      </c>
      <c r="I43" s="24">
        <v>242.16999999999996</v>
      </c>
      <c r="J43" s="24">
        <v>129.46999999999997</v>
      </c>
      <c r="K43" s="24">
        <v>109.86999999999995</v>
      </c>
      <c r="L43" s="25">
        <v>0.7825</v>
      </c>
      <c r="M43" s="24">
        <v>40.61083612685166</v>
      </c>
      <c r="N43" s="24">
        <v>1.1999999999999993</v>
      </c>
      <c r="O43" s="26">
        <v>41.810836126851655</v>
      </c>
      <c r="P43" s="27">
        <v>9.652423122425128</v>
      </c>
      <c r="Q43" s="28">
        <v>0.23880028846194087</v>
      </c>
      <c r="R43" s="28">
        <v>40.42048351195144</v>
      </c>
      <c r="S43" s="101" t="s">
        <v>125</v>
      </c>
      <c r="T43" s="318" t="s">
        <v>125</v>
      </c>
      <c r="U43" s="28" t="s">
        <v>125</v>
      </c>
      <c r="V43" s="323" t="s">
        <v>125</v>
      </c>
      <c r="W43" s="27">
        <v>9.652423122425128</v>
      </c>
      <c r="X43" s="28">
        <v>0.3395441601568222</v>
      </c>
      <c r="Y43" s="28">
        <v>28.427592799614196</v>
      </c>
      <c r="Z43" s="102" t="s">
        <v>125</v>
      </c>
      <c r="AA43" s="92" t="s">
        <v>125</v>
      </c>
      <c r="AB43" s="28" t="s">
        <v>125</v>
      </c>
      <c r="AC43" s="28" t="s">
        <v>125</v>
      </c>
      <c r="AD43" s="27">
        <v>9.652423122425128</v>
      </c>
      <c r="AE43" s="28">
        <v>0.19104023076955268</v>
      </c>
      <c r="AF43" s="28">
        <v>50.5256043899393</v>
      </c>
      <c r="AG43" s="101" t="s">
        <v>125</v>
      </c>
      <c r="AH43" s="318" t="s">
        <v>125</v>
      </c>
      <c r="AI43" s="30" t="s">
        <v>125</v>
      </c>
      <c r="AJ43" s="328" t="s">
        <v>125</v>
      </c>
      <c r="AL43" s="296">
        <v>1</v>
      </c>
      <c r="AM43" s="44">
        <v>1</v>
      </c>
      <c r="AN43" s="50">
        <v>39.42048351195144</v>
      </c>
      <c r="AO43" s="51">
        <v>39.42048351195144</v>
      </c>
      <c r="AP43" s="51">
        <v>0</v>
      </c>
      <c r="AQ43" s="50">
        <v>27.427592799614196</v>
      </c>
      <c r="AR43" s="51">
        <v>27.427592799614196</v>
      </c>
      <c r="AS43" s="51">
        <v>0</v>
      </c>
      <c r="AT43" s="50">
        <v>49.5256043899393</v>
      </c>
      <c r="AU43" s="51">
        <v>49.5256043899393</v>
      </c>
      <c r="AV43" s="51">
        <v>0</v>
      </c>
      <c r="AW43" s="52">
        <v>1</v>
      </c>
      <c r="AX43" s="52">
        <v>3</v>
      </c>
      <c r="AY43" s="44" t="s">
        <v>125</v>
      </c>
      <c r="AZ43" s="45" t="s">
        <v>125</v>
      </c>
      <c r="BA43" s="46" t="s">
        <v>125</v>
      </c>
    </row>
    <row r="44" spans="1:53" ht="13.5">
      <c r="A44" s="19">
        <v>1</v>
      </c>
      <c r="B44" s="279">
        <v>15</v>
      </c>
      <c r="C44" s="280" t="s">
        <v>96</v>
      </c>
      <c r="D44" s="281">
        <v>6</v>
      </c>
      <c r="E44" s="282">
        <v>43</v>
      </c>
      <c r="F44" s="282">
        <v>100</v>
      </c>
      <c r="G44" s="283" t="s">
        <v>125</v>
      </c>
      <c r="H44" s="283" t="s">
        <v>125</v>
      </c>
      <c r="I44" s="284">
        <v>250.59999999999997</v>
      </c>
      <c r="J44" s="284">
        <v>132.99999999999994</v>
      </c>
      <c r="K44" s="284">
        <v>113.39999999999995</v>
      </c>
      <c r="L44" s="285">
        <v>0.775</v>
      </c>
      <c r="M44" s="284">
        <v>39.97375682329473</v>
      </c>
      <c r="N44" s="284">
        <v>1.1999999999999993</v>
      </c>
      <c r="O44" s="286">
        <v>41.173756823294724</v>
      </c>
      <c r="P44" s="258">
        <v>8.693790818761357</v>
      </c>
      <c r="Q44" s="260">
        <v>0.23824864277113794</v>
      </c>
      <c r="R44" s="260">
        <v>36.49041068037742</v>
      </c>
      <c r="S44" s="455" t="s">
        <v>125</v>
      </c>
      <c r="T44" s="320" t="s">
        <v>125</v>
      </c>
      <c r="U44" s="260" t="s">
        <v>125</v>
      </c>
      <c r="V44" s="324" t="s">
        <v>125</v>
      </c>
      <c r="W44" s="258">
        <v>8.693790818761357</v>
      </c>
      <c r="X44" s="260">
        <v>0.33875978894021175</v>
      </c>
      <c r="Y44" s="260">
        <v>25.663585533452256</v>
      </c>
      <c r="Z44" s="455" t="s">
        <v>125</v>
      </c>
      <c r="AA44" s="261" t="s">
        <v>125</v>
      </c>
      <c r="AB44" s="260" t="s">
        <v>125</v>
      </c>
      <c r="AC44" s="260" t="s">
        <v>125</v>
      </c>
      <c r="AD44" s="258">
        <v>8.693790818761357</v>
      </c>
      <c r="AE44" s="260">
        <v>0.19059891421691033</v>
      </c>
      <c r="AF44" s="260">
        <v>45.61301335047178</v>
      </c>
      <c r="AG44" s="455" t="s">
        <v>125</v>
      </c>
      <c r="AH44" s="320" t="s">
        <v>125</v>
      </c>
      <c r="AI44" s="287" t="s">
        <v>125</v>
      </c>
      <c r="AJ44" s="329" t="s">
        <v>125</v>
      </c>
      <c r="AL44" s="297">
        <v>1</v>
      </c>
      <c r="AM44" s="289">
        <v>1</v>
      </c>
      <c r="AN44" s="290">
        <v>35.49041068037742</v>
      </c>
      <c r="AO44" s="291">
        <v>35.49041068037742</v>
      </c>
      <c r="AP44" s="291">
        <v>0</v>
      </c>
      <c r="AQ44" s="290">
        <v>24.663585533452256</v>
      </c>
      <c r="AR44" s="291">
        <v>24.663585533452256</v>
      </c>
      <c r="AS44" s="291">
        <v>0</v>
      </c>
      <c r="AT44" s="290">
        <v>44.61301335047178</v>
      </c>
      <c r="AU44" s="291">
        <v>44.61301335047178</v>
      </c>
      <c r="AV44" s="291">
        <v>0</v>
      </c>
      <c r="AW44" s="292">
        <v>1</v>
      </c>
      <c r="AX44" s="292">
        <v>3</v>
      </c>
      <c r="AY44" s="289" t="s">
        <v>125</v>
      </c>
      <c r="AZ44" s="293" t="s">
        <v>125</v>
      </c>
      <c r="BA44" s="46" t="s">
        <v>125</v>
      </c>
    </row>
    <row r="45" spans="1:53" ht="13.5">
      <c r="A45" s="19">
        <v>1</v>
      </c>
      <c r="B45" s="163">
        <v>15.5</v>
      </c>
      <c r="C45" s="164" t="s">
        <v>96</v>
      </c>
      <c r="D45" s="165">
        <v>6</v>
      </c>
      <c r="E45" s="166">
        <v>43</v>
      </c>
      <c r="F45" s="166">
        <v>100</v>
      </c>
      <c r="G45" s="167" t="s">
        <v>125</v>
      </c>
      <c r="H45" s="167" t="s">
        <v>125</v>
      </c>
      <c r="I45" s="24">
        <v>259.03</v>
      </c>
      <c r="J45" s="24">
        <v>136.52999999999997</v>
      </c>
      <c r="K45" s="24">
        <v>116.92999999999995</v>
      </c>
      <c r="L45" s="25">
        <v>0.7675000000000001</v>
      </c>
      <c r="M45" s="24">
        <v>39.36574895838358</v>
      </c>
      <c r="N45" s="24">
        <v>1.1999999999999993</v>
      </c>
      <c r="O45" s="26">
        <v>40.56574895838358</v>
      </c>
      <c r="P45" s="27">
        <v>7.858068296611235</v>
      </c>
      <c r="Q45" s="28">
        <v>0.23757441391294387</v>
      </c>
      <c r="R45" s="28">
        <v>33.07623984917301</v>
      </c>
      <c r="S45" s="101" t="s">
        <v>125</v>
      </c>
      <c r="T45" s="318" t="s">
        <v>125</v>
      </c>
      <c r="U45" s="28" t="s">
        <v>125</v>
      </c>
      <c r="V45" s="323" t="s">
        <v>125</v>
      </c>
      <c r="W45" s="27">
        <v>7.858068296611235</v>
      </c>
      <c r="X45" s="28">
        <v>0.3378011197824671</v>
      </c>
      <c r="Y45" s="28">
        <v>23.26241044337442</v>
      </c>
      <c r="Z45" s="102" t="s">
        <v>125</v>
      </c>
      <c r="AA45" s="92" t="s">
        <v>125</v>
      </c>
      <c r="AB45" s="28" t="s">
        <v>125</v>
      </c>
      <c r="AC45" s="28" t="s">
        <v>125</v>
      </c>
      <c r="AD45" s="27">
        <v>7.858068296611235</v>
      </c>
      <c r="AE45" s="28">
        <v>0.19005953113035506</v>
      </c>
      <c r="AF45" s="28">
        <v>41.34529981146626</v>
      </c>
      <c r="AG45" s="101" t="s">
        <v>125</v>
      </c>
      <c r="AH45" s="318" t="s">
        <v>125</v>
      </c>
      <c r="AI45" s="30" t="s">
        <v>125</v>
      </c>
      <c r="AJ45" s="328" t="s">
        <v>125</v>
      </c>
      <c r="AL45" s="296">
        <v>1</v>
      </c>
      <c r="AM45" s="44">
        <v>1</v>
      </c>
      <c r="AN45" s="50">
        <v>32.07623984917301</v>
      </c>
      <c r="AO45" s="51">
        <v>32.07623984917301</v>
      </c>
      <c r="AP45" s="51">
        <v>0</v>
      </c>
      <c r="AQ45" s="50">
        <v>22.26241044337442</v>
      </c>
      <c r="AR45" s="51">
        <v>22.26241044337442</v>
      </c>
      <c r="AS45" s="51">
        <v>0</v>
      </c>
      <c r="AT45" s="50">
        <v>40.34529981146626</v>
      </c>
      <c r="AU45" s="51">
        <v>40.34529981146626</v>
      </c>
      <c r="AV45" s="51">
        <v>0</v>
      </c>
      <c r="AW45" s="52">
        <v>1</v>
      </c>
      <c r="AX45" s="52">
        <v>3</v>
      </c>
      <c r="AY45" s="44" t="s">
        <v>125</v>
      </c>
      <c r="AZ45" s="45" t="s">
        <v>125</v>
      </c>
      <c r="BA45" s="46" t="s">
        <v>125</v>
      </c>
    </row>
    <row r="46" spans="1:53" ht="13.5">
      <c r="A46" s="19">
        <v>1</v>
      </c>
      <c r="B46" s="163">
        <v>16</v>
      </c>
      <c r="C46" s="164" t="s">
        <v>96</v>
      </c>
      <c r="D46" s="165">
        <v>6</v>
      </c>
      <c r="E46" s="166">
        <v>43</v>
      </c>
      <c r="F46" s="166">
        <v>100</v>
      </c>
      <c r="G46" s="167" t="s">
        <v>125</v>
      </c>
      <c r="H46" s="167" t="s">
        <v>125</v>
      </c>
      <c r="I46" s="24">
        <v>267.46</v>
      </c>
      <c r="J46" s="24">
        <v>140.05999999999997</v>
      </c>
      <c r="K46" s="24">
        <v>120.45999999999998</v>
      </c>
      <c r="L46" s="25">
        <v>0.76</v>
      </c>
      <c r="M46" s="24">
        <v>38.78466673271784</v>
      </c>
      <c r="N46" s="24">
        <v>1.1999999999999993</v>
      </c>
      <c r="O46" s="26">
        <v>39.98466673271784</v>
      </c>
      <c r="P46" s="27">
        <v>7.126425014830473</v>
      </c>
      <c r="Q46" s="28">
        <v>0.236786870456134</v>
      </c>
      <c r="R46" s="28">
        <v>30.09636894605894</v>
      </c>
      <c r="S46" s="101" t="s">
        <v>125</v>
      </c>
      <c r="T46" s="318" t="s">
        <v>125</v>
      </c>
      <c r="U46" s="28" t="s">
        <v>125</v>
      </c>
      <c r="V46" s="323" t="s">
        <v>125</v>
      </c>
      <c r="W46" s="27">
        <v>7.126425014830473</v>
      </c>
      <c r="X46" s="28">
        <v>0.3366813314298156</v>
      </c>
      <c r="Y46" s="28">
        <v>21.166677060964528</v>
      </c>
      <c r="Z46" s="102" t="s">
        <v>125</v>
      </c>
      <c r="AA46" s="92" t="s">
        <v>125</v>
      </c>
      <c r="AB46" s="28" t="s">
        <v>125</v>
      </c>
      <c r="AC46" s="28" t="s">
        <v>125</v>
      </c>
      <c r="AD46" s="27">
        <v>7.126425014830473</v>
      </c>
      <c r="AE46" s="28">
        <v>0.1894294963649072</v>
      </c>
      <c r="AF46" s="28">
        <v>37.62046118257368</v>
      </c>
      <c r="AG46" s="101" t="s">
        <v>125</v>
      </c>
      <c r="AH46" s="318" t="s">
        <v>125</v>
      </c>
      <c r="AI46" s="30" t="s">
        <v>125</v>
      </c>
      <c r="AJ46" s="328" t="s">
        <v>125</v>
      </c>
      <c r="AL46" s="296">
        <v>1</v>
      </c>
      <c r="AM46" s="44">
        <v>1</v>
      </c>
      <c r="AN46" s="50">
        <v>29.09636894605894</v>
      </c>
      <c r="AO46" s="51">
        <v>29.09636894605894</v>
      </c>
      <c r="AP46" s="51">
        <v>0</v>
      </c>
      <c r="AQ46" s="50">
        <v>20.166677060964528</v>
      </c>
      <c r="AR46" s="51">
        <v>20.166677060964528</v>
      </c>
      <c r="AS46" s="51">
        <v>0</v>
      </c>
      <c r="AT46" s="50">
        <v>36.62046118257368</v>
      </c>
      <c r="AU46" s="51">
        <v>36.62046118257368</v>
      </c>
      <c r="AV46" s="51">
        <v>0</v>
      </c>
      <c r="AW46" s="52">
        <v>1</v>
      </c>
      <c r="AX46" s="52">
        <v>3</v>
      </c>
      <c r="AY46" s="44" t="s">
        <v>125</v>
      </c>
      <c r="AZ46" s="45" t="s">
        <v>125</v>
      </c>
      <c r="BA46" s="46" t="s">
        <v>125</v>
      </c>
    </row>
    <row r="47" spans="1:53" ht="13.5">
      <c r="A47" s="19">
        <v>1</v>
      </c>
      <c r="B47" s="163">
        <v>16.5</v>
      </c>
      <c r="C47" s="164" t="s">
        <v>96</v>
      </c>
      <c r="D47" s="165">
        <v>6</v>
      </c>
      <c r="E47" s="166">
        <v>43</v>
      </c>
      <c r="F47" s="166">
        <v>100</v>
      </c>
      <c r="G47" s="167" t="s">
        <v>125</v>
      </c>
      <c r="H47" s="167" t="s">
        <v>125</v>
      </c>
      <c r="I47" s="24">
        <v>275.89</v>
      </c>
      <c r="J47" s="24">
        <v>143.58999999999997</v>
      </c>
      <c r="K47" s="24">
        <v>123.98999999999998</v>
      </c>
      <c r="L47" s="25">
        <v>0.7525</v>
      </c>
      <c r="M47" s="24">
        <v>38.22857973312596</v>
      </c>
      <c r="N47" s="24">
        <v>1.1999999999999993</v>
      </c>
      <c r="O47" s="26">
        <v>39.42857973312596</v>
      </c>
      <c r="P47" s="27">
        <v>6.483356879571796</v>
      </c>
      <c r="Q47" s="28">
        <v>0.23589436953978044</v>
      </c>
      <c r="R47" s="28">
        <v>27.484152725732883</v>
      </c>
      <c r="S47" s="101" t="s">
        <v>125</v>
      </c>
      <c r="T47" s="318" t="s">
        <v>125</v>
      </c>
      <c r="U47" s="28" t="s">
        <v>125</v>
      </c>
      <c r="V47" s="323" t="s">
        <v>125</v>
      </c>
      <c r="W47" s="27">
        <v>6.483356879571796</v>
      </c>
      <c r="X47" s="28">
        <v>0.33541230668937533</v>
      </c>
      <c r="Y47" s="28">
        <v>19.329514004911037</v>
      </c>
      <c r="Z47" s="102" t="s">
        <v>125</v>
      </c>
      <c r="AA47" s="92" t="s">
        <v>125</v>
      </c>
      <c r="AB47" s="28" t="s">
        <v>125</v>
      </c>
      <c r="AC47" s="28" t="s">
        <v>125</v>
      </c>
      <c r="AD47" s="27">
        <v>6.483356879571796</v>
      </c>
      <c r="AE47" s="28">
        <v>0.18871549563182433</v>
      </c>
      <c r="AF47" s="28">
        <v>34.355190907166104</v>
      </c>
      <c r="AG47" s="101" t="s">
        <v>125</v>
      </c>
      <c r="AH47" s="318" t="s">
        <v>125</v>
      </c>
      <c r="AI47" s="30" t="s">
        <v>125</v>
      </c>
      <c r="AJ47" s="328" t="s">
        <v>125</v>
      </c>
      <c r="AL47" s="296">
        <v>1</v>
      </c>
      <c r="AM47" s="44">
        <v>1</v>
      </c>
      <c r="AN47" s="50">
        <v>26.484152725732883</v>
      </c>
      <c r="AO47" s="51">
        <v>26.484152725732883</v>
      </c>
      <c r="AP47" s="51">
        <v>0</v>
      </c>
      <c r="AQ47" s="50">
        <v>18.329514004911037</v>
      </c>
      <c r="AR47" s="51">
        <v>18.329514004911037</v>
      </c>
      <c r="AS47" s="51">
        <v>0</v>
      </c>
      <c r="AT47" s="50">
        <v>33.355190907166104</v>
      </c>
      <c r="AU47" s="51">
        <v>33.355190907166104</v>
      </c>
      <c r="AV47" s="51">
        <v>0</v>
      </c>
      <c r="AW47" s="52">
        <v>1</v>
      </c>
      <c r="AX47" s="52">
        <v>3</v>
      </c>
      <c r="AY47" s="44" t="s">
        <v>125</v>
      </c>
      <c r="AZ47" s="45" t="s">
        <v>125</v>
      </c>
      <c r="BA47" s="46" t="s">
        <v>125</v>
      </c>
    </row>
    <row r="48" spans="1:53" ht="13.5">
      <c r="A48" s="19">
        <v>1</v>
      </c>
      <c r="B48" s="163">
        <v>17</v>
      </c>
      <c r="C48" s="164" t="s">
        <v>96</v>
      </c>
      <c r="D48" s="165">
        <v>6</v>
      </c>
      <c r="E48" s="166">
        <v>43</v>
      </c>
      <c r="F48" s="166">
        <v>100</v>
      </c>
      <c r="G48" s="167" t="s">
        <v>125</v>
      </c>
      <c r="H48" s="167" t="s">
        <v>125</v>
      </c>
      <c r="I48" s="24">
        <v>284.32</v>
      </c>
      <c r="J48" s="24">
        <v>147.11999999999998</v>
      </c>
      <c r="K48" s="24">
        <v>127.51999999999998</v>
      </c>
      <c r="L48" s="25">
        <v>0.745</v>
      </c>
      <c r="M48" s="24">
        <v>37.695745910168235</v>
      </c>
      <c r="N48" s="24">
        <v>1.1999999999999993</v>
      </c>
      <c r="O48" s="26">
        <v>38.89574591016823</v>
      </c>
      <c r="P48" s="27">
        <v>5.916025023377783</v>
      </c>
      <c r="Q48" s="28">
        <v>0.23490446621755742</v>
      </c>
      <c r="R48" s="28">
        <v>25.184812867281288</v>
      </c>
      <c r="S48" s="101" t="s">
        <v>125</v>
      </c>
      <c r="T48" s="318" t="s">
        <v>125</v>
      </c>
      <c r="U48" s="28" t="s">
        <v>125</v>
      </c>
      <c r="V48" s="323" t="s">
        <v>125</v>
      </c>
      <c r="W48" s="27">
        <v>5.916025023377783</v>
      </c>
      <c r="X48" s="28">
        <v>0.33400478790308946</v>
      </c>
      <c r="Y48" s="28">
        <v>17.712395862703325</v>
      </c>
      <c r="Z48" s="102" t="s">
        <v>125</v>
      </c>
      <c r="AA48" s="92" t="s">
        <v>125</v>
      </c>
      <c r="AB48" s="28" t="s">
        <v>125</v>
      </c>
      <c r="AC48" s="28" t="s">
        <v>125</v>
      </c>
      <c r="AD48" s="27">
        <v>5.916025023377783</v>
      </c>
      <c r="AE48" s="28">
        <v>0.18792357297404594</v>
      </c>
      <c r="AF48" s="28">
        <v>31.481016084101608</v>
      </c>
      <c r="AG48" s="101" t="s">
        <v>125</v>
      </c>
      <c r="AH48" s="318" t="s">
        <v>125</v>
      </c>
      <c r="AI48" s="30" t="s">
        <v>125</v>
      </c>
      <c r="AJ48" s="328" t="s">
        <v>125</v>
      </c>
      <c r="AL48" s="296">
        <v>1</v>
      </c>
      <c r="AM48" s="44">
        <v>1</v>
      </c>
      <c r="AN48" s="50">
        <v>24.184812867281288</v>
      </c>
      <c r="AO48" s="51">
        <v>24.184812867281288</v>
      </c>
      <c r="AP48" s="51">
        <v>0</v>
      </c>
      <c r="AQ48" s="50">
        <v>16.712395862703325</v>
      </c>
      <c r="AR48" s="51">
        <v>16.712395862703325</v>
      </c>
      <c r="AS48" s="51">
        <v>0</v>
      </c>
      <c r="AT48" s="50">
        <v>30.481016084101608</v>
      </c>
      <c r="AU48" s="51">
        <v>30.481016084101608</v>
      </c>
      <c r="AV48" s="51">
        <v>0</v>
      </c>
      <c r="AW48" s="52">
        <v>1</v>
      </c>
      <c r="AX48" s="52">
        <v>3</v>
      </c>
      <c r="AY48" s="44" t="s">
        <v>125</v>
      </c>
      <c r="AZ48" s="45" t="s">
        <v>125</v>
      </c>
      <c r="BA48" s="46" t="s">
        <v>125</v>
      </c>
    </row>
    <row r="49" spans="1:53" ht="13.5">
      <c r="A49" s="19" t="s">
        <v>125</v>
      </c>
      <c r="B49" s="163">
        <v>17.5</v>
      </c>
      <c r="C49" s="164" t="s">
        <v>125</v>
      </c>
      <c r="D49" s="165" t="s">
        <v>125</v>
      </c>
      <c r="E49" s="166" t="s">
        <v>125</v>
      </c>
      <c r="F49" s="166" t="s">
        <v>125</v>
      </c>
      <c r="G49" s="167" t="s">
        <v>125</v>
      </c>
      <c r="H49" s="167" t="s">
        <v>125</v>
      </c>
      <c r="I49" s="24" t="s">
        <v>125</v>
      </c>
      <c r="J49" s="24" t="s">
        <v>125</v>
      </c>
      <c r="K49" s="24" t="s">
        <v>125</v>
      </c>
      <c r="L49" s="25" t="s">
        <v>125</v>
      </c>
      <c r="M49" s="24" t="s">
        <v>125</v>
      </c>
      <c r="N49" s="24" t="s">
        <v>125</v>
      </c>
      <c r="O49" s="26" t="s">
        <v>125</v>
      </c>
      <c r="P49" s="27" t="s">
        <v>125</v>
      </c>
      <c r="Q49" s="28" t="s">
        <v>125</v>
      </c>
      <c r="R49" s="28" t="s">
        <v>125</v>
      </c>
      <c r="S49" s="101" t="s">
        <v>125</v>
      </c>
      <c r="T49" s="318" t="s">
        <v>125</v>
      </c>
      <c r="U49" s="28" t="s">
        <v>125</v>
      </c>
      <c r="V49" s="323" t="s">
        <v>125</v>
      </c>
      <c r="W49" s="27" t="s">
        <v>125</v>
      </c>
      <c r="X49" s="28" t="s">
        <v>125</v>
      </c>
      <c r="Y49" s="28" t="s">
        <v>125</v>
      </c>
      <c r="Z49" s="102" t="s">
        <v>125</v>
      </c>
      <c r="AA49" s="92" t="s">
        <v>125</v>
      </c>
      <c r="AB49" s="28" t="s">
        <v>125</v>
      </c>
      <c r="AC49" s="28" t="s">
        <v>125</v>
      </c>
      <c r="AD49" s="27" t="s">
        <v>125</v>
      </c>
      <c r="AE49" s="28" t="s">
        <v>125</v>
      </c>
      <c r="AF49" s="28" t="s">
        <v>125</v>
      </c>
      <c r="AG49" s="101" t="s">
        <v>125</v>
      </c>
      <c r="AH49" s="318" t="s">
        <v>125</v>
      </c>
      <c r="AI49" s="30" t="s">
        <v>125</v>
      </c>
      <c r="AJ49" s="328" t="s">
        <v>125</v>
      </c>
      <c r="AL49" s="296">
        <v>1</v>
      </c>
      <c r="AM49" s="44">
        <v>1</v>
      </c>
      <c r="AN49" s="50" t="s">
        <v>125</v>
      </c>
      <c r="AO49" s="51" t="s">
        <v>125</v>
      </c>
      <c r="AP49" s="51" t="s">
        <v>125</v>
      </c>
      <c r="AQ49" s="50" t="s">
        <v>125</v>
      </c>
      <c r="AR49" s="51" t="s">
        <v>125</v>
      </c>
      <c r="AS49" s="51" t="s">
        <v>125</v>
      </c>
      <c r="AT49" s="50" t="s">
        <v>125</v>
      </c>
      <c r="AU49" s="51" t="s">
        <v>125</v>
      </c>
      <c r="AV49" s="51" t="s">
        <v>125</v>
      </c>
      <c r="AW49" s="52">
        <v>1</v>
      </c>
      <c r="AX49" s="52">
        <v>3</v>
      </c>
      <c r="AY49" s="44" t="s">
        <v>125</v>
      </c>
      <c r="AZ49" s="45" t="s">
        <v>125</v>
      </c>
      <c r="BA49" s="46" t="s">
        <v>125</v>
      </c>
    </row>
    <row r="50" spans="1:53" ht="13.5">
      <c r="A50" s="19" t="s">
        <v>125</v>
      </c>
      <c r="B50" s="163">
        <v>18</v>
      </c>
      <c r="C50" s="164" t="s">
        <v>125</v>
      </c>
      <c r="D50" s="165" t="s">
        <v>125</v>
      </c>
      <c r="E50" s="166" t="s">
        <v>125</v>
      </c>
      <c r="F50" s="166" t="s">
        <v>125</v>
      </c>
      <c r="G50" s="167" t="s">
        <v>125</v>
      </c>
      <c r="H50" s="167" t="s">
        <v>125</v>
      </c>
      <c r="I50" s="24" t="s">
        <v>125</v>
      </c>
      <c r="J50" s="24" t="s">
        <v>125</v>
      </c>
      <c r="K50" s="24" t="s">
        <v>125</v>
      </c>
      <c r="L50" s="25" t="s">
        <v>125</v>
      </c>
      <c r="M50" s="24" t="s">
        <v>125</v>
      </c>
      <c r="N50" s="24" t="s">
        <v>125</v>
      </c>
      <c r="O50" s="26" t="s">
        <v>125</v>
      </c>
      <c r="P50" s="27" t="s">
        <v>125</v>
      </c>
      <c r="Q50" s="28" t="s">
        <v>125</v>
      </c>
      <c r="R50" s="28" t="s">
        <v>125</v>
      </c>
      <c r="S50" s="101" t="s">
        <v>125</v>
      </c>
      <c r="T50" s="318" t="s">
        <v>125</v>
      </c>
      <c r="U50" s="28" t="s">
        <v>125</v>
      </c>
      <c r="V50" s="323" t="s">
        <v>125</v>
      </c>
      <c r="W50" s="27" t="s">
        <v>125</v>
      </c>
      <c r="X50" s="28" t="s">
        <v>125</v>
      </c>
      <c r="Y50" s="28" t="s">
        <v>125</v>
      </c>
      <c r="Z50" s="102" t="s">
        <v>125</v>
      </c>
      <c r="AA50" s="92" t="s">
        <v>125</v>
      </c>
      <c r="AB50" s="28" t="s">
        <v>125</v>
      </c>
      <c r="AC50" s="28" t="s">
        <v>125</v>
      </c>
      <c r="AD50" s="27" t="s">
        <v>125</v>
      </c>
      <c r="AE50" s="28" t="s">
        <v>125</v>
      </c>
      <c r="AF50" s="28" t="s">
        <v>125</v>
      </c>
      <c r="AG50" s="101" t="s">
        <v>125</v>
      </c>
      <c r="AH50" s="318" t="s">
        <v>125</v>
      </c>
      <c r="AI50" s="30" t="s">
        <v>125</v>
      </c>
      <c r="AJ50" s="328" t="s">
        <v>125</v>
      </c>
      <c r="AL50" s="296">
        <v>1</v>
      </c>
      <c r="AM50" s="44">
        <v>1</v>
      </c>
      <c r="AN50" s="50" t="s">
        <v>125</v>
      </c>
      <c r="AO50" s="51" t="s">
        <v>125</v>
      </c>
      <c r="AP50" s="51" t="s">
        <v>125</v>
      </c>
      <c r="AQ50" s="50" t="s">
        <v>125</v>
      </c>
      <c r="AR50" s="51" t="s">
        <v>125</v>
      </c>
      <c r="AS50" s="51" t="s">
        <v>125</v>
      </c>
      <c r="AT50" s="50" t="s">
        <v>125</v>
      </c>
      <c r="AU50" s="51" t="s">
        <v>125</v>
      </c>
      <c r="AV50" s="51" t="s">
        <v>125</v>
      </c>
      <c r="AW50" s="52">
        <v>1</v>
      </c>
      <c r="AX50" s="52">
        <v>3</v>
      </c>
      <c r="AY50" s="44" t="s">
        <v>125</v>
      </c>
      <c r="AZ50" s="45" t="s">
        <v>125</v>
      </c>
      <c r="BA50" s="46" t="s">
        <v>125</v>
      </c>
    </row>
    <row r="51" spans="1:53" ht="13.5">
      <c r="A51" s="19" t="s">
        <v>125</v>
      </c>
      <c r="B51" s="163">
        <v>18.5</v>
      </c>
      <c r="C51" s="164" t="s">
        <v>125</v>
      </c>
      <c r="D51" s="165" t="s">
        <v>125</v>
      </c>
      <c r="E51" s="166" t="s">
        <v>125</v>
      </c>
      <c r="F51" s="166" t="s">
        <v>125</v>
      </c>
      <c r="G51" s="167" t="s">
        <v>125</v>
      </c>
      <c r="H51" s="167" t="s">
        <v>125</v>
      </c>
      <c r="I51" s="24" t="s">
        <v>125</v>
      </c>
      <c r="J51" s="24" t="s">
        <v>125</v>
      </c>
      <c r="K51" s="24" t="s">
        <v>125</v>
      </c>
      <c r="L51" s="25" t="s">
        <v>125</v>
      </c>
      <c r="M51" s="24" t="s">
        <v>125</v>
      </c>
      <c r="N51" s="24" t="s">
        <v>125</v>
      </c>
      <c r="O51" s="26" t="s">
        <v>125</v>
      </c>
      <c r="P51" s="27" t="s">
        <v>125</v>
      </c>
      <c r="Q51" s="28" t="s">
        <v>125</v>
      </c>
      <c r="R51" s="28" t="s">
        <v>125</v>
      </c>
      <c r="S51" s="101" t="s">
        <v>125</v>
      </c>
      <c r="T51" s="318" t="s">
        <v>125</v>
      </c>
      <c r="U51" s="28" t="s">
        <v>125</v>
      </c>
      <c r="V51" s="323" t="s">
        <v>125</v>
      </c>
      <c r="W51" s="27" t="s">
        <v>125</v>
      </c>
      <c r="X51" s="28" t="s">
        <v>125</v>
      </c>
      <c r="Y51" s="28" t="s">
        <v>125</v>
      </c>
      <c r="Z51" s="102" t="s">
        <v>125</v>
      </c>
      <c r="AA51" s="92" t="s">
        <v>125</v>
      </c>
      <c r="AB51" s="28" t="s">
        <v>125</v>
      </c>
      <c r="AC51" s="28" t="s">
        <v>125</v>
      </c>
      <c r="AD51" s="27" t="s">
        <v>125</v>
      </c>
      <c r="AE51" s="28" t="s">
        <v>125</v>
      </c>
      <c r="AF51" s="28" t="s">
        <v>125</v>
      </c>
      <c r="AG51" s="101" t="s">
        <v>125</v>
      </c>
      <c r="AH51" s="318" t="s">
        <v>125</v>
      </c>
      <c r="AI51" s="30" t="s">
        <v>125</v>
      </c>
      <c r="AJ51" s="328" t="s">
        <v>125</v>
      </c>
      <c r="AL51" s="296">
        <v>1</v>
      </c>
      <c r="AM51" s="44">
        <v>1</v>
      </c>
      <c r="AN51" s="50" t="s">
        <v>125</v>
      </c>
      <c r="AO51" s="51" t="s">
        <v>125</v>
      </c>
      <c r="AP51" s="51" t="s">
        <v>125</v>
      </c>
      <c r="AQ51" s="50" t="s">
        <v>125</v>
      </c>
      <c r="AR51" s="51" t="s">
        <v>125</v>
      </c>
      <c r="AS51" s="51" t="s">
        <v>125</v>
      </c>
      <c r="AT51" s="50" t="s">
        <v>125</v>
      </c>
      <c r="AU51" s="51" t="s">
        <v>125</v>
      </c>
      <c r="AV51" s="51" t="s">
        <v>125</v>
      </c>
      <c r="AW51" s="52">
        <v>1</v>
      </c>
      <c r="AX51" s="52">
        <v>3</v>
      </c>
      <c r="AY51" s="44" t="s">
        <v>125</v>
      </c>
      <c r="AZ51" s="45" t="s">
        <v>125</v>
      </c>
      <c r="BA51" s="46" t="s">
        <v>125</v>
      </c>
    </row>
    <row r="52" spans="1:53" ht="13.5">
      <c r="A52" s="19" t="s">
        <v>125</v>
      </c>
      <c r="B52" s="163">
        <v>19</v>
      </c>
      <c r="C52" s="164" t="s">
        <v>125</v>
      </c>
      <c r="D52" s="165" t="s">
        <v>125</v>
      </c>
      <c r="E52" s="166" t="s">
        <v>125</v>
      </c>
      <c r="F52" s="166" t="s">
        <v>125</v>
      </c>
      <c r="G52" s="167" t="s">
        <v>125</v>
      </c>
      <c r="H52" s="167" t="s">
        <v>125</v>
      </c>
      <c r="I52" s="24" t="s">
        <v>125</v>
      </c>
      <c r="J52" s="24" t="s">
        <v>125</v>
      </c>
      <c r="K52" s="24" t="s">
        <v>125</v>
      </c>
      <c r="L52" s="25" t="s">
        <v>125</v>
      </c>
      <c r="M52" s="24" t="s">
        <v>125</v>
      </c>
      <c r="N52" s="24" t="s">
        <v>125</v>
      </c>
      <c r="O52" s="26" t="s">
        <v>125</v>
      </c>
      <c r="P52" s="27" t="s">
        <v>125</v>
      </c>
      <c r="Q52" s="28" t="s">
        <v>125</v>
      </c>
      <c r="R52" s="28" t="s">
        <v>125</v>
      </c>
      <c r="S52" s="101" t="s">
        <v>125</v>
      </c>
      <c r="T52" s="318" t="s">
        <v>125</v>
      </c>
      <c r="U52" s="28" t="s">
        <v>125</v>
      </c>
      <c r="V52" s="323" t="s">
        <v>125</v>
      </c>
      <c r="W52" s="27" t="s">
        <v>125</v>
      </c>
      <c r="X52" s="28" t="s">
        <v>125</v>
      </c>
      <c r="Y52" s="28" t="s">
        <v>125</v>
      </c>
      <c r="Z52" s="102" t="s">
        <v>125</v>
      </c>
      <c r="AA52" s="92" t="s">
        <v>125</v>
      </c>
      <c r="AB52" s="28" t="s">
        <v>125</v>
      </c>
      <c r="AC52" s="28" t="s">
        <v>125</v>
      </c>
      <c r="AD52" s="27" t="s">
        <v>125</v>
      </c>
      <c r="AE52" s="28" t="s">
        <v>125</v>
      </c>
      <c r="AF52" s="28" t="s">
        <v>125</v>
      </c>
      <c r="AG52" s="101" t="s">
        <v>125</v>
      </c>
      <c r="AH52" s="318" t="s">
        <v>125</v>
      </c>
      <c r="AI52" s="30" t="s">
        <v>125</v>
      </c>
      <c r="AJ52" s="328" t="s">
        <v>125</v>
      </c>
      <c r="AL52" s="296">
        <v>1</v>
      </c>
      <c r="AM52" s="44">
        <v>1</v>
      </c>
      <c r="AN52" s="50" t="s">
        <v>125</v>
      </c>
      <c r="AO52" s="51" t="s">
        <v>125</v>
      </c>
      <c r="AP52" s="51" t="s">
        <v>125</v>
      </c>
      <c r="AQ52" s="50" t="s">
        <v>125</v>
      </c>
      <c r="AR52" s="51" t="s">
        <v>125</v>
      </c>
      <c r="AS52" s="51" t="s">
        <v>125</v>
      </c>
      <c r="AT52" s="50" t="s">
        <v>125</v>
      </c>
      <c r="AU52" s="51" t="s">
        <v>125</v>
      </c>
      <c r="AV52" s="51" t="s">
        <v>125</v>
      </c>
      <c r="AW52" s="52">
        <v>1</v>
      </c>
      <c r="AX52" s="52">
        <v>3</v>
      </c>
      <c r="AY52" s="44" t="s">
        <v>125</v>
      </c>
      <c r="AZ52" s="45" t="s">
        <v>125</v>
      </c>
      <c r="BA52" s="46" t="s">
        <v>125</v>
      </c>
    </row>
    <row r="53" spans="1:53" ht="13.5">
      <c r="A53" s="19" t="s">
        <v>125</v>
      </c>
      <c r="B53" s="163">
        <v>19.5</v>
      </c>
      <c r="C53" s="164" t="s">
        <v>125</v>
      </c>
      <c r="D53" s="165" t="s">
        <v>125</v>
      </c>
      <c r="E53" s="166" t="s">
        <v>125</v>
      </c>
      <c r="F53" s="166" t="s">
        <v>125</v>
      </c>
      <c r="G53" s="167" t="s">
        <v>125</v>
      </c>
      <c r="H53" s="167" t="s">
        <v>125</v>
      </c>
      <c r="I53" s="24" t="s">
        <v>125</v>
      </c>
      <c r="J53" s="24" t="s">
        <v>125</v>
      </c>
      <c r="K53" s="24" t="s">
        <v>125</v>
      </c>
      <c r="L53" s="25" t="s">
        <v>125</v>
      </c>
      <c r="M53" s="24" t="s">
        <v>125</v>
      </c>
      <c r="N53" s="24" t="s">
        <v>125</v>
      </c>
      <c r="O53" s="26" t="s">
        <v>125</v>
      </c>
      <c r="P53" s="27" t="s">
        <v>125</v>
      </c>
      <c r="Q53" s="28" t="s">
        <v>125</v>
      </c>
      <c r="R53" s="28" t="s">
        <v>125</v>
      </c>
      <c r="S53" s="101" t="s">
        <v>125</v>
      </c>
      <c r="T53" s="318" t="s">
        <v>125</v>
      </c>
      <c r="U53" s="28" t="s">
        <v>125</v>
      </c>
      <c r="V53" s="323" t="s">
        <v>125</v>
      </c>
      <c r="W53" s="27" t="s">
        <v>125</v>
      </c>
      <c r="X53" s="28" t="s">
        <v>125</v>
      </c>
      <c r="Y53" s="28" t="s">
        <v>125</v>
      </c>
      <c r="Z53" s="102" t="s">
        <v>125</v>
      </c>
      <c r="AA53" s="92" t="s">
        <v>125</v>
      </c>
      <c r="AB53" s="28" t="s">
        <v>125</v>
      </c>
      <c r="AC53" s="28" t="s">
        <v>125</v>
      </c>
      <c r="AD53" s="27" t="s">
        <v>125</v>
      </c>
      <c r="AE53" s="28" t="s">
        <v>125</v>
      </c>
      <c r="AF53" s="28" t="s">
        <v>125</v>
      </c>
      <c r="AG53" s="101" t="s">
        <v>125</v>
      </c>
      <c r="AH53" s="318" t="s">
        <v>125</v>
      </c>
      <c r="AI53" s="30" t="s">
        <v>125</v>
      </c>
      <c r="AJ53" s="328" t="s">
        <v>125</v>
      </c>
      <c r="AL53" s="296">
        <v>1</v>
      </c>
      <c r="AM53" s="44">
        <v>1</v>
      </c>
      <c r="AN53" s="50" t="s">
        <v>125</v>
      </c>
      <c r="AO53" s="51" t="s">
        <v>125</v>
      </c>
      <c r="AP53" s="51" t="s">
        <v>125</v>
      </c>
      <c r="AQ53" s="50" t="s">
        <v>125</v>
      </c>
      <c r="AR53" s="51" t="s">
        <v>125</v>
      </c>
      <c r="AS53" s="51" t="s">
        <v>125</v>
      </c>
      <c r="AT53" s="50" t="s">
        <v>125</v>
      </c>
      <c r="AU53" s="51" t="s">
        <v>125</v>
      </c>
      <c r="AV53" s="51" t="s">
        <v>125</v>
      </c>
      <c r="AW53" s="52">
        <v>1</v>
      </c>
      <c r="AX53" s="52">
        <v>3</v>
      </c>
      <c r="AY53" s="44" t="s">
        <v>125</v>
      </c>
      <c r="AZ53" s="45" t="s">
        <v>125</v>
      </c>
      <c r="BA53" s="46" t="s">
        <v>125</v>
      </c>
    </row>
    <row r="54" spans="1:53" ht="14.25" thickBot="1">
      <c r="A54" s="19" t="s">
        <v>125</v>
      </c>
      <c r="B54" s="168">
        <v>20</v>
      </c>
      <c r="C54" s="169" t="s">
        <v>125</v>
      </c>
      <c r="D54" s="170" t="s">
        <v>125</v>
      </c>
      <c r="E54" s="171" t="s">
        <v>125</v>
      </c>
      <c r="F54" s="171" t="s">
        <v>125</v>
      </c>
      <c r="G54" s="172" t="s">
        <v>125</v>
      </c>
      <c r="H54" s="172" t="s">
        <v>125</v>
      </c>
      <c r="I54" s="34" t="s">
        <v>125</v>
      </c>
      <c r="J54" s="34" t="s">
        <v>125</v>
      </c>
      <c r="K54" s="34" t="s">
        <v>125</v>
      </c>
      <c r="L54" s="35" t="s">
        <v>125</v>
      </c>
      <c r="M54" s="34" t="s">
        <v>125</v>
      </c>
      <c r="N54" s="34" t="s">
        <v>125</v>
      </c>
      <c r="O54" s="36" t="s">
        <v>125</v>
      </c>
      <c r="P54" s="37" t="s">
        <v>125</v>
      </c>
      <c r="Q54" s="38" t="s">
        <v>125</v>
      </c>
      <c r="R54" s="38" t="s">
        <v>125</v>
      </c>
      <c r="S54" s="101" t="s">
        <v>125</v>
      </c>
      <c r="T54" s="321" t="s">
        <v>125</v>
      </c>
      <c r="U54" s="38" t="s">
        <v>125</v>
      </c>
      <c r="V54" s="325" t="s">
        <v>125</v>
      </c>
      <c r="W54" s="37" t="s">
        <v>125</v>
      </c>
      <c r="X54" s="38" t="s">
        <v>125</v>
      </c>
      <c r="Y54" s="38" t="s">
        <v>125</v>
      </c>
      <c r="Z54" s="101" t="s">
        <v>125</v>
      </c>
      <c r="AA54" s="94" t="s">
        <v>125</v>
      </c>
      <c r="AB54" s="38" t="s">
        <v>125</v>
      </c>
      <c r="AC54" s="38" t="s">
        <v>125</v>
      </c>
      <c r="AD54" s="37" t="s">
        <v>125</v>
      </c>
      <c r="AE54" s="38" t="s">
        <v>125</v>
      </c>
      <c r="AF54" s="38" t="s">
        <v>125</v>
      </c>
      <c r="AG54" s="101" t="s">
        <v>125</v>
      </c>
      <c r="AH54" s="321" t="s">
        <v>125</v>
      </c>
      <c r="AI54" s="39" t="s">
        <v>125</v>
      </c>
      <c r="AJ54" s="330" t="s">
        <v>125</v>
      </c>
      <c r="AL54" s="298">
        <v>1</v>
      </c>
      <c r="AM54" s="53">
        <v>1</v>
      </c>
      <c r="AN54" s="54" t="s">
        <v>125</v>
      </c>
      <c r="AO54" s="55" t="s">
        <v>125</v>
      </c>
      <c r="AP54" s="55" t="s">
        <v>125</v>
      </c>
      <c r="AQ54" s="54" t="s">
        <v>125</v>
      </c>
      <c r="AR54" s="55" t="s">
        <v>125</v>
      </c>
      <c r="AS54" s="55" t="s">
        <v>125</v>
      </c>
      <c r="AT54" s="54" t="s">
        <v>125</v>
      </c>
      <c r="AU54" s="55" t="s">
        <v>125</v>
      </c>
      <c r="AV54" s="55" t="s">
        <v>125</v>
      </c>
      <c r="AW54" s="56">
        <v>1</v>
      </c>
      <c r="AX54" s="56">
        <v>3</v>
      </c>
      <c r="AY54" s="53" t="s">
        <v>125</v>
      </c>
      <c r="AZ54" s="57" t="s">
        <v>125</v>
      </c>
      <c r="BA54" s="441" t="s">
        <v>125</v>
      </c>
    </row>
    <row r="55" spans="2:34" ht="13.5">
      <c r="B55" s="1"/>
      <c r="C55" s="1"/>
      <c r="D55" s="1"/>
      <c r="E55" s="149"/>
      <c r="F55" s="149"/>
      <c r="G55" s="1"/>
      <c r="H55" s="1"/>
      <c r="I55" s="1"/>
      <c r="J55" s="1"/>
      <c r="K55" s="1"/>
      <c r="L55" s="2"/>
      <c r="M55" s="3"/>
      <c r="N55" s="2"/>
      <c r="O55" s="3"/>
      <c r="P55" s="1"/>
      <c r="Q55" s="3"/>
      <c r="R55" s="459"/>
      <c r="S55" s="452"/>
      <c r="T55" s="456"/>
      <c r="U55" s="109"/>
      <c r="V55" s="457"/>
      <c r="W55" s="456"/>
      <c r="X55" s="458"/>
      <c r="Y55" s="459"/>
      <c r="Z55" s="453"/>
      <c r="AA55" s="109"/>
      <c r="AB55" s="457"/>
      <c r="AC55" s="456"/>
      <c r="AD55" s="458"/>
      <c r="AE55" s="458"/>
      <c r="AF55" s="454"/>
      <c r="AG55" s="453"/>
      <c r="AH55" s="458"/>
    </row>
    <row r="56" spans="2:53" ht="14.25" thickBot="1">
      <c r="B56" s="1"/>
      <c r="C56" s="1"/>
      <c r="D56" s="1"/>
      <c r="E56" s="149"/>
      <c r="F56" s="149"/>
      <c r="G56" s="1"/>
      <c r="H56" s="1"/>
      <c r="I56" s="1"/>
      <c r="J56" s="1"/>
      <c r="K56" s="1"/>
      <c r="L56" s="2"/>
      <c r="M56" s="3"/>
      <c r="N56" s="2"/>
      <c r="O56" s="3"/>
      <c r="P56" s="1"/>
      <c r="Q56" s="3"/>
      <c r="R56" s="1"/>
      <c r="S56" s="1"/>
      <c r="T56" s="2"/>
      <c r="U56" s="1"/>
      <c r="V56" s="3"/>
      <c r="W56" s="2"/>
      <c r="Z56" s="1"/>
      <c r="AA56" s="1"/>
      <c r="AB56" s="3"/>
      <c r="AC56" s="2"/>
      <c r="AF56" s="1"/>
      <c r="AG56" s="439"/>
      <c r="AH56" s="439"/>
      <c r="AI56" s="439"/>
      <c r="AJ56" s="439"/>
      <c r="AK56" s="1"/>
      <c r="AL56" s="20"/>
      <c r="AM56" s="20"/>
      <c r="AN56" s="20"/>
      <c r="AO56" s="20"/>
      <c r="AP56" s="20"/>
      <c r="AQ56" s="20"/>
      <c r="AR56" s="20"/>
      <c r="AS56" s="20"/>
      <c r="AT56" s="20"/>
      <c r="AU56" s="20"/>
      <c r="AV56" s="20"/>
      <c r="AW56" s="20"/>
      <c r="AX56" s="20"/>
      <c r="AY56" s="442"/>
      <c r="AZ56" s="442"/>
      <c r="BA56" s="442"/>
    </row>
    <row r="57" spans="2:33" ht="13.5">
      <c r="B57" s="21"/>
      <c r="C57" s="21"/>
      <c r="D57" s="21"/>
      <c r="E57" s="161"/>
      <c r="F57" s="161"/>
      <c r="G57" s="21"/>
      <c r="H57" s="21"/>
      <c r="I57" s="21"/>
      <c r="J57" s="21"/>
      <c r="K57" s="21"/>
      <c r="L57" s="22"/>
      <c r="M57" s="23"/>
      <c r="N57" s="22"/>
      <c r="O57" s="23"/>
      <c r="P57" s="21"/>
      <c r="Q57" s="23"/>
      <c r="R57" s="21"/>
      <c r="S57" s="21"/>
      <c r="T57" s="22"/>
      <c r="U57" s="21"/>
      <c r="V57" s="23"/>
      <c r="W57" s="22"/>
      <c r="X57" s="21"/>
      <c r="Y57" s="21"/>
      <c r="Z57" s="21"/>
      <c r="AA57" s="21"/>
      <c r="AB57" s="23"/>
      <c r="AC57" s="22"/>
      <c r="AD57" s="21"/>
      <c r="AE57" s="21"/>
      <c r="AF57" s="21"/>
      <c r="AG57" s="1"/>
    </row>
    <row r="58" spans="2:33" ht="13.5">
      <c r="B58" s="558">
        <v>4</v>
      </c>
      <c r="C58" s="558"/>
      <c r="D58" s="558"/>
      <c r="E58" s="558"/>
      <c r="F58" s="558"/>
      <c r="G58" s="558"/>
      <c r="H58" s="558"/>
      <c r="I58" s="558"/>
      <c r="J58" s="558"/>
      <c r="K58" s="558"/>
      <c r="L58" s="558"/>
      <c r="M58" s="558"/>
      <c r="N58" s="558"/>
      <c r="O58" s="558"/>
      <c r="P58" s="558"/>
      <c r="Q58" s="558"/>
      <c r="R58" s="558"/>
      <c r="S58" s="558"/>
      <c r="T58" s="558"/>
      <c r="U58" s="558"/>
      <c r="V58" s="558"/>
      <c r="W58" s="558"/>
      <c r="X58" s="558"/>
      <c r="Y58" s="558"/>
      <c r="Z58" s="558"/>
      <c r="AA58" s="558"/>
      <c r="AB58" s="558"/>
      <c r="AC58" s="558"/>
      <c r="AD58" s="558"/>
      <c r="AE58" s="558"/>
      <c r="AF58" s="558"/>
      <c r="AG58" s="558"/>
    </row>
    <row r="59" ht="13.5">
      <c r="H59" s="7"/>
    </row>
    <row r="60" ht="13.5" customHeight="1">
      <c r="H60" s="7"/>
    </row>
  </sheetData>
  <sheetProtection password="CA83" sheet="1" objects="1" scenarios="1" selectLockedCells="1" selectUnlockedCells="1"/>
  <mergeCells count="41">
    <mergeCell ref="B2:AJ2"/>
    <mergeCell ref="AL2:BA2"/>
    <mergeCell ref="B4:C4"/>
    <mergeCell ref="D4:F4"/>
    <mergeCell ref="P4:P5"/>
    <mergeCell ref="Q4:R5"/>
    <mergeCell ref="S4:T5"/>
    <mergeCell ref="U4:V5"/>
    <mergeCell ref="W4:X5"/>
    <mergeCell ref="Y4:Z5"/>
    <mergeCell ref="B5:C5"/>
    <mergeCell ref="D5:F5"/>
    <mergeCell ref="B6:C6"/>
    <mergeCell ref="D6:E6"/>
    <mergeCell ref="Q6:R6"/>
    <mergeCell ref="S6:T6"/>
    <mergeCell ref="U6:V6"/>
    <mergeCell ref="W6:X6"/>
    <mergeCell ref="Y6:Z6"/>
    <mergeCell ref="B7:C7"/>
    <mergeCell ref="D7:E7"/>
    <mergeCell ref="Q7:R7"/>
    <mergeCell ref="S7:T7"/>
    <mergeCell ref="U7:V7"/>
    <mergeCell ref="W7:X7"/>
    <mergeCell ref="Y7:Z7"/>
    <mergeCell ref="Q8:R8"/>
    <mergeCell ref="S8:T8"/>
    <mergeCell ref="U8:V8"/>
    <mergeCell ref="W8:X8"/>
    <mergeCell ref="Y8:Z8"/>
    <mergeCell ref="P11:V11"/>
    <mergeCell ref="W11:AC11"/>
    <mergeCell ref="B58:AG58"/>
    <mergeCell ref="AD11:AJ11"/>
    <mergeCell ref="AL11:AV11"/>
    <mergeCell ref="B12:B13"/>
    <mergeCell ref="C12:C13"/>
    <mergeCell ref="AN12:AP12"/>
    <mergeCell ref="AQ12:AS12"/>
    <mergeCell ref="AT12:AV12"/>
  </mergeCells>
  <printOptions horizontalCentered="1"/>
  <pageMargins left="0.5905511811023623" right="0.5905511811023623" top="1.4960629921259843" bottom="0.1968503937007874" header="0.7086614173228347" footer="0"/>
  <pageSetup fitToHeight="1" fitToWidth="1" horizontalDpi="600" verticalDpi="600" orientation="landscape" paperSize="8" scale="8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Chikazawa</dc:creator>
  <cp:keywords/>
  <dc:description/>
  <cp:lastModifiedBy>o</cp:lastModifiedBy>
  <cp:lastPrinted>2012-12-23T06:08:32Z</cp:lastPrinted>
  <dcterms:created xsi:type="dcterms:W3CDTF">2010-05-12T06:04:56Z</dcterms:created>
  <dcterms:modified xsi:type="dcterms:W3CDTF">2013-02-02T00:22:24Z</dcterms:modified>
  <cp:category/>
  <cp:version/>
  <cp:contentType/>
  <cp:contentStatus/>
</cp:coreProperties>
</file>